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55" yWindow="60" windowWidth="8775" windowHeight="8400"/>
  </bookViews>
  <sheets>
    <sheet name="Notes_STMG" sheetId="11" r:id="rId1"/>
    <sheet name="IMPRIMER_Relevé_STMG" sheetId="15" r:id="rId2"/>
  </sheets>
  <definedNames>
    <definedName name="_xlnm.Print_Area" localSheetId="1">IMPRIMER_Relevé_STMG!$A$1:$M$49</definedName>
    <definedName name="_xlnm.Print_Area" localSheetId="0">Notes_STMG!$A$1:$M$49</definedName>
  </definedNames>
  <calcPr calcId="124519"/>
</workbook>
</file>

<file path=xl/calcChain.xml><?xml version="1.0" encoding="utf-8"?>
<calcChain xmlns="http://schemas.openxmlformats.org/spreadsheetml/2006/main">
  <c r="H27" i="11"/>
  <c r="H27" i="15" s="1"/>
  <c r="I27" i="11"/>
  <c r="B5" i="15"/>
  <c r="A13"/>
  <c r="F13" s="1"/>
  <c r="A14"/>
  <c r="F14" s="1"/>
  <c r="A15"/>
  <c r="F15" s="1"/>
  <c r="A16"/>
  <c r="D16" s="1"/>
  <c r="A18"/>
  <c r="F18" s="1"/>
  <c r="A19"/>
  <c r="A21"/>
  <c r="A17"/>
  <c r="A20"/>
  <c r="A22"/>
  <c r="A23"/>
  <c r="F23" s="1"/>
  <c r="A24"/>
  <c r="F24" s="1"/>
  <c r="A25"/>
  <c r="F25" s="1"/>
  <c r="A26"/>
  <c r="F26" s="1"/>
  <c r="A28"/>
  <c r="A29"/>
  <c r="A30"/>
  <c r="F30" s="1"/>
  <c r="A31"/>
  <c r="A32"/>
  <c r="Q59" s="1"/>
  <c r="A33"/>
  <c r="A34"/>
  <c r="B6"/>
  <c r="F21"/>
  <c r="F1"/>
  <c r="J1" s="1"/>
  <c r="B15" s="1"/>
  <c r="A27" i="11"/>
  <c r="F27" s="1"/>
  <c r="H29"/>
  <c r="H29" i="15" s="1"/>
  <c r="H28" i="11"/>
  <c r="H28" i="15" s="1"/>
  <c r="F15" i="11"/>
  <c r="I2"/>
  <c r="I2" i="15" s="1"/>
  <c r="H32" l="1"/>
  <c r="H30"/>
  <c r="Q57"/>
  <c r="Q58"/>
  <c r="Q56"/>
  <c r="A27"/>
  <c r="F27" s="1"/>
  <c r="P59"/>
  <c r="P58"/>
  <c r="F19"/>
  <c r="F16"/>
  <c r="F32"/>
  <c r="P56"/>
  <c r="P57"/>
  <c r="B13"/>
  <c r="B14"/>
  <c r="Q60" l="1"/>
  <c r="P60"/>
  <c r="D16" i="11" l="1"/>
  <c r="Q59" l="1"/>
  <c r="Q58"/>
  <c r="P58"/>
  <c r="Q57"/>
  <c r="Q56"/>
  <c r="P56"/>
  <c r="P57"/>
  <c r="P59"/>
  <c r="F19"/>
  <c r="Q60" l="1"/>
  <c r="P60"/>
  <c r="H33"/>
  <c r="H33" i="15" s="1"/>
  <c r="F32" i="11"/>
  <c r="H31"/>
  <c r="H31" i="15" s="1"/>
  <c r="F30" i="11"/>
  <c r="H17"/>
  <c r="H17" i="15" s="1"/>
  <c r="D38" i="11"/>
  <c r="D38" i="15" s="1"/>
  <c r="F24" i="11"/>
  <c r="H22"/>
  <c r="H22" i="15" s="1"/>
  <c r="F21" i="11"/>
  <c r="H20"/>
  <c r="H20" i="15" s="1"/>
  <c r="F26" i="11"/>
  <c r="F25"/>
  <c r="F23"/>
  <c r="F18"/>
  <c r="F14"/>
  <c r="F13"/>
  <c r="F1"/>
  <c r="J1" s="1"/>
  <c r="B15" s="1"/>
  <c r="D41" i="15" l="1"/>
  <c r="D42" s="1"/>
  <c r="E41"/>
  <c r="F41"/>
  <c r="G41"/>
  <c r="C41"/>
  <c r="C42" s="1"/>
  <c r="F41" i="11"/>
  <c r="D41"/>
  <c r="D42" s="1"/>
  <c r="G41"/>
  <c r="E41"/>
  <c r="C41"/>
  <c r="C42" s="1"/>
  <c r="B14"/>
  <c r="B13"/>
  <c r="F16"/>
  <c r="F38" s="1"/>
  <c r="F39" l="1"/>
  <c r="F39" i="15" s="1"/>
  <c r="F38"/>
  <c r="J27" i="11" l="1"/>
  <c r="L27" s="1"/>
  <c r="L19"/>
  <c r="L30"/>
  <c r="K14"/>
  <c r="M14" s="1"/>
  <c r="J24"/>
  <c r="L37"/>
  <c r="L22"/>
  <c r="L18"/>
  <c r="J26"/>
  <c r="K19"/>
  <c r="M19" s="1"/>
  <c r="K30"/>
  <c r="M30" s="1"/>
  <c r="L31"/>
  <c r="K25"/>
  <c r="L24"/>
  <c r="L33"/>
  <c r="K24"/>
  <c r="M24" s="1"/>
  <c r="K15"/>
  <c r="M15" s="1"/>
  <c r="J19"/>
  <c r="L32"/>
  <c r="K32"/>
  <c r="M32" s="1"/>
  <c r="L17"/>
  <c r="L36"/>
  <c r="K16"/>
  <c r="M16" s="1"/>
  <c r="L26"/>
  <c r="J23"/>
  <c r="L16"/>
  <c r="L20"/>
  <c r="L13"/>
  <c r="L23"/>
  <c r="J18"/>
  <c r="J21"/>
  <c r="J16"/>
  <c r="K27"/>
  <c r="M27" s="1"/>
  <c r="L21"/>
  <c r="L14"/>
  <c r="K23"/>
  <c r="M23" s="1"/>
  <c r="K21"/>
  <c r="M21" s="1"/>
  <c r="K13"/>
  <c r="M13" s="1"/>
  <c r="K26"/>
  <c r="M26" s="1"/>
  <c r="J13"/>
  <c r="K18"/>
  <c r="M18" s="1"/>
  <c r="J14"/>
  <c r="J25"/>
  <c r="L25" s="1"/>
  <c r="M25" s="1"/>
  <c r="L15"/>
  <c r="J29"/>
  <c r="J28"/>
  <c r="C45"/>
  <c r="B48" s="1"/>
  <c r="I28" i="15"/>
  <c r="I24"/>
  <c r="I18"/>
  <c r="I23"/>
  <c r="L23" s="1"/>
  <c r="I27"/>
  <c r="L33"/>
  <c r="J28"/>
  <c r="J24"/>
  <c r="L22"/>
  <c r="L20"/>
  <c r="L17"/>
  <c r="L15"/>
  <c r="L13"/>
  <c r="L32"/>
  <c r="J29"/>
  <c r="J25"/>
  <c r="K19"/>
  <c r="K14"/>
  <c r="M14" s="1"/>
  <c r="K13"/>
  <c r="M13" s="1"/>
  <c r="I21"/>
  <c r="I26"/>
  <c r="L26" s="1"/>
  <c r="I19"/>
  <c r="I25"/>
  <c r="L37"/>
  <c r="L31"/>
  <c r="J27"/>
  <c r="J23"/>
  <c r="J21"/>
  <c r="J19"/>
  <c r="L16"/>
  <c r="J14"/>
  <c r="L36"/>
  <c r="L30"/>
  <c r="J26"/>
  <c r="L19"/>
  <c r="K15"/>
  <c r="M15" s="1"/>
  <c r="J13"/>
  <c r="K23"/>
  <c r="K18"/>
  <c r="K16"/>
  <c r="M16" s="1"/>
  <c r="K21"/>
  <c r="K24"/>
  <c r="K30"/>
  <c r="M30" s="1"/>
  <c r="K32"/>
  <c r="M32" s="1"/>
  <c r="J18"/>
  <c r="L14"/>
  <c r="K26"/>
  <c r="K25"/>
  <c r="K27"/>
  <c r="J16"/>
  <c r="L25"/>
  <c r="C45"/>
  <c r="B48" s="1"/>
  <c r="M25" l="1"/>
  <c r="L27"/>
  <c r="J38" i="11"/>
  <c r="J38" i="15" s="1"/>
  <c r="M27"/>
  <c r="M26"/>
  <c r="M19"/>
  <c r="M21"/>
  <c r="L21"/>
  <c r="L24"/>
  <c r="M24"/>
  <c r="M23"/>
  <c r="M38" i="11"/>
  <c r="M39" l="1"/>
  <c r="M38" i="15"/>
  <c r="B36" i="11"/>
  <c r="I45" l="1"/>
  <c r="I45" i="15" s="1"/>
  <c r="B36"/>
  <c r="C48" i="11"/>
  <c r="C48" i="15" s="1"/>
  <c r="M39"/>
  <c r="H48" i="11"/>
  <c r="H48" i="15" s="1"/>
  <c r="H36" i="11"/>
  <c r="A36"/>
  <c r="A36" i="15" s="1"/>
  <c r="H37" i="11"/>
  <c r="H37" i="15" s="1"/>
  <c r="L18"/>
  <c r="M18" s="1"/>
  <c r="H36" l="1"/>
</calcChain>
</file>

<file path=xl/comments1.xml><?xml version="1.0" encoding="utf-8"?>
<comments xmlns="http://schemas.openxmlformats.org/spreadsheetml/2006/main">
  <authors>
    <author>Lycée Mahatma Gandhi</author>
  </authors>
  <commentList>
    <comment ref="H11" authorId="0">
      <text>
        <r>
          <rPr>
            <sz val="10"/>
            <color indexed="81"/>
            <rFont val="Tahoma"/>
            <family val="2"/>
          </rPr>
          <t>Selon les disciplines, un menu déroulant permet de sélectionner l'épreuve choisie</t>
        </r>
      </text>
    </comment>
    <comment ref="A12" authorId="0">
      <text>
        <r>
          <rPr>
            <sz val="10"/>
            <color indexed="81"/>
            <rFont val="Tahoma"/>
            <family val="2"/>
          </rPr>
          <t xml:space="preserve">Seules les notes/20 sont à saisir par le candidat dans les seules cellules blanches accessibles
La MOYENNE SUR 20 est indiquée dans la cellule </t>
        </r>
        <r>
          <rPr>
            <b/>
            <sz val="10"/>
            <color indexed="81"/>
            <rFont val="Tahoma"/>
            <family val="2"/>
          </rPr>
          <t>F39</t>
        </r>
        <r>
          <rPr>
            <sz val="10"/>
            <color indexed="81"/>
            <rFont val="Tahoma"/>
            <family val="2"/>
          </rPr>
          <t xml:space="preserve">
La DECISION JURY à l'issue des épreuves du 1er groupe est indiquée dans la cellule </t>
        </r>
        <r>
          <rPr>
            <b/>
            <sz val="10"/>
            <color indexed="81"/>
            <rFont val="Tahoma"/>
            <family val="2"/>
          </rPr>
          <t>C45</t>
        </r>
      </text>
    </comment>
    <comment ref="I12" authorId="0">
      <text>
        <r>
          <rPr>
            <sz val="10"/>
            <color indexed="81"/>
            <rFont val="Tahoma"/>
            <family val="2"/>
          </rPr>
          <t xml:space="preserve">Si à l'issue des épreuves du 1er Groupe, la DECISION JURY </t>
        </r>
        <r>
          <rPr>
            <i/>
            <sz val="8"/>
            <color indexed="81"/>
            <rFont val="Tahoma"/>
            <family val="2"/>
          </rPr>
          <t xml:space="preserve">-cellule </t>
        </r>
        <r>
          <rPr>
            <b/>
            <i/>
            <sz val="8"/>
            <color indexed="81"/>
            <rFont val="Tahoma"/>
            <family val="2"/>
          </rPr>
          <t>C45</t>
        </r>
        <r>
          <rPr>
            <i/>
            <sz val="8"/>
            <color indexed="81"/>
            <rFont val="Tahoma"/>
            <family val="2"/>
          </rPr>
          <t>-</t>
        </r>
        <r>
          <rPr>
            <sz val="10"/>
            <color indexed="81"/>
            <rFont val="Tahoma"/>
            <family val="2"/>
          </rPr>
          <t xml:space="preserve"> est "PASSE SECOND GROUPE" </t>
        </r>
        <r>
          <rPr>
            <i/>
            <sz val="8"/>
            <color indexed="81"/>
            <rFont val="Tahoma"/>
            <family val="2"/>
          </rPr>
          <t xml:space="preserve">(la moyenne -cellule </t>
        </r>
        <r>
          <rPr>
            <b/>
            <i/>
            <sz val="8"/>
            <color indexed="81"/>
            <rFont val="Tahoma"/>
            <family val="2"/>
          </rPr>
          <t>F39</t>
        </r>
        <r>
          <rPr>
            <i/>
            <sz val="8"/>
            <color indexed="81"/>
            <rFont val="Tahoma"/>
            <family val="2"/>
          </rPr>
          <t>- est comprise entre 8 et 9,99)</t>
        </r>
        <r>
          <rPr>
            <sz val="10"/>
            <color indexed="81"/>
            <rFont val="Tahoma"/>
            <family val="2"/>
          </rPr>
          <t xml:space="preserve">, saisir </t>
        </r>
        <r>
          <rPr>
            <sz val="14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Tahoma"/>
            <family val="2"/>
          </rPr>
          <t>notes</t>
        </r>
        <r>
          <rPr>
            <sz val="10"/>
            <color indexed="81"/>
            <rFont val="Tahoma"/>
            <family val="2"/>
          </rPr>
          <t xml:space="preserve"> /20 dans les cellules blanches accessibles correspondant à votre choix des épreuves du 2è GROUPE
La DECISION JURY à l'issue des épreuves du 2è groupe s'affiche dans la cellule </t>
        </r>
        <r>
          <rPr>
            <b/>
            <sz val="10"/>
            <color indexed="81"/>
            <rFont val="Tahoma"/>
            <family val="2"/>
          </rPr>
          <t>C48</t>
        </r>
      </text>
    </comment>
    <comment ref="I13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4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15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A16" authorId="0">
      <text>
        <r>
          <rPr>
            <sz val="12"/>
            <color indexed="81"/>
            <rFont val="Tahoma"/>
            <family val="2"/>
          </rPr>
          <t>Si vous êtes dispensé(e) de sport,</t>
        </r>
        <r>
          <rPr>
            <sz val="10"/>
            <color indexed="81"/>
            <rFont val="Tahoma"/>
            <family val="2"/>
          </rPr>
          <t xml:space="preserve">
- laissez OBLIGATOIREMENT la cellule </t>
        </r>
        <r>
          <rPr>
            <b/>
            <sz val="10"/>
            <color indexed="81"/>
            <rFont val="Tahoma"/>
            <family val="2"/>
          </rPr>
          <t>A16</t>
        </r>
        <r>
          <rPr>
            <sz val="10"/>
            <color indexed="81"/>
            <rFont val="Tahoma"/>
            <family val="2"/>
          </rPr>
          <t xml:space="preserve"> vierge </t>
        </r>
        <r>
          <rPr>
            <i/>
            <sz val="8"/>
            <color indexed="81"/>
            <rFont val="Tahoma"/>
            <family val="2"/>
          </rPr>
          <t>-cette étape permet de modifier le total Coefficient-</t>
        </r>
        <r>
          <rPr>
            <sz val="10"/>
            <color indexed="81"/>
            <rFont val="Tahoma"/>
            <family val="2"/>
          </rPr>
          <t xml:space="preserve">
- </t>
        </r>
        <r>
          <rPr>
            <u/>
            <sz val="12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sélectionnez dans la liste déroulante (située en </t>
        </r>
        <r>
          <rPr>
            <b/>
            <sz val="10"/>
            <color indexed="81"/>
            <rFont val="Tahoma"/>
            <family val="2"/>
          </rPr>
          <t>H17</t>
        </r>
        <r>
          <rPr>
            <sz val="10"/>
            <color indexed="81"/>
            <rFont val="Tahoma"/>
            <family val="2"/>
          </rPr>
          <t>), le choix [</t>
        </r>
        <r>
          <rPr>
            <i/>
            <sz val="10"/>
            <color indexed="81"/>
            <rFont val="Tahoma"/>
            <family val="2"/>
          </rPr>
          <t>EPS DISPENSE</t>
        </r>
        <r>
          <rPr>
            <sz val="10"/>
            <color indexed="81"/>
            <rFont val="Tahoma"/>
            <family val="2"/>
          </rPr>
          <t>]</t>
        </r>
      </text>
    </comment>
    <comment ref="I16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A27" authorId="0">
      <text>
        <r>
          <rPr>
            <sz val="10"/>
            <color indexed="81"/>
            <rFont val="Tahoma"/>
            <family val="2"/>
          </rPr>
          <t xml:space="preserve">La note de la SPECIALITE est obtenue par calcul
Elle correspond à la moyenne, </t>
        </r>
        <r>
          <rPr>
            <i/>
            <sz val="11"/>
            <color indexed="81"/>
            <rFont val="Tahoma"/>
            <family val="2"/>
          </rPr>
          <t>arrondie au point supérieur</t>
        </r>
        <r>
          <rPr>
            <sz val="10"/>
            <color indexed="81"/>
            <rFont val="Tahoma"/>
            <family val="2"/>
          </rPr>
          <t xml:space="preserve">, de la note obtenue à </t>
        </r>
        <r>
          <rPr>
            <u/>
            <sz val="10"/>
            <color indexed="81"/>
            <rFont val="Tahoma"/>
            <family val="2"/>
          </rPr>
          <t>l'épreuve écrite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i/>
            <sz val="8"/>
            <color indexed="81"/>
            <rFont val="Tahoma"/>
            <family val="2"/>
          </rPr>
          <t>(cellule A28)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de la note obtenue à </t>
        </r>
        <r>
          <rPr>
            <u/>
            <sz val="10"/>
            <color indexed="81"/>
            <rFont val="Tahoma"/>
            <family val="2"/>
          </rPr>
          <t>l'épreuve pratique orale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i/>
            <sz val="8"/>
            <color indexed="81"/>
            <rFont val="Tahoma"/>
            <family val="2"/>
          </rPr>
          <t>(cellule A29)</t>
        </r>
      </text>
    </comment>
    <comment ref="I27" authorId="0">
      <text>
        <r>
          <rPr>
            <sz val="10"/>
            <color indexed="81"/>
            <rFont val="Tahoma"/>
            <family val="2"/>
          </rPr>
          <t xml:space="preserve">La note de la SPECIALITE de second groupe est obtenue par calcul
Elle correspond à la </t>
        </r>
        <r>
          <rPr>
            <b/>
            <sz val="11"/>
            <color indexed="81"/>
            <rFont val="Tahoma"/>
            <family val="2"/>
          </rPr>
          <t>moyenne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i/>
            <sz val="12"/>
            <color indexed="81"/>
            <rFont val="Tahoma"/>
            <family val="2"/>
          </rPr>
          <t>arrondie au point supérieur</t>
        </r>
        <r>
          <rPr>
            <sz val="10"/>
            <color indexed="81"/>
            <rFont val="Tahoma"/>
            <family val="2"/>
          </rPr>
          <t xml:space="preserve">, de la note obtenue à </t>
        </r>
        <r>
          <rPr>
            <u/>
            <sz val="10"/>
            <color indexed="81"/>
            <rFont val="Tahoma"/>
            <family val="2"/>
          </rPr>
          <t>l'épreuve de second groupe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i/>
            <sz val="8"/>
            <color indexed="81"/>
            <rFont val="Tahoma"/>
            <family val="2"/>
          </rPr>
          <t xml:space="preserve">(cellule </t>
        </r>
        <r>
          <rPr>
            <b/>
            <i/>
            <sz val="10"/>
            <color indexed="81"/>
            <rFont val="Tahoma"/>
            <family val="2"/>
          </rPr>
          <t>I28</t>
        </r>
        <r>
          <rPr>
            <b/>
            <i/>
            <sz val="8"/>
            <color indexed="81"/>
            <rFont val="Tahoma"/>
            <family val="2"/>
          </rPr>
          <t xml:space="preserve">)
</t>
        </r>
        <r>
          <rPr>
            <sz val="14"/>
            <color indexed="81"/>
            <rFont val="Tahoma"/>
            <family val="2"/>
          </rPr>
          <t>et</t>
        </r>
        <r>
          <rPr>
            <sz val="10"/>
            <color indexed="81"/>
            <rFont val="Tahoma"/>
            <family val="2"/>
          </rPr>
          <t xml:space="preserve"> de la note obtenue à </t>
        </r>
        <r>
          <rPr>
            <u/>
            <sz val="10"/>
            <color indexed="81"/>
            <rFont val="Tahoma"/>
            <family val="2"/>
          </rPr>
          <t>l'épreuve pratique orale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i/>
            <sz val="8"/>
            <color indexed="81"/>
            <rFont val="Tahoma"/>
            <family val="2"/>
          </rPr>
          <t xml:space="preserve">(cellule </t>
        </r>
        <r>
          <rPr>
            <b/>
            <i/>
            <sz val="10"/>
            <color indexed="81"/>
            <rFont val="Tahoma"/>
            <family val="2"/>
          </rPr>
          <t>A29)</t>
        </r>
      </text>
    </comment>
    <comment ref="I30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32" authorId="0">
      <text>
        <r>
          <rPr>
            <sz val="10"/>
            <color indexed="81"/>
            <rFont val="Tahoma"/>
            <family val="2"/>
          </rPr>
          <t>Choix d'épreuve de second groupe impossible</t>
        </r>
      </text>
    </comment>
    <comment ref="I45" authorId="0">
      <text>
        <r>
          <rPr>
            <sz val="10"/>
            <color indexed="81"/>
            <rFont val="Tahoma"/>
            <family val="2"/>
          </rPr>
          <t xml:space="preserve">Pour obtenir la mention européenne, deux conditions cumulatives sont nécessaires :
- obtenir une note </t>
        </r>
        <r>
          <rPr>
            <sz val="14"/>
            <color indexed="81"/>
            <rFont val="Tahoma"/>
            <family val="2"/>
          </rPr>
          <t>&gt;=12</t>
        </r>
        <r>
          <rPr>
            <sz val="10"/>
            <color indexed="81"/>
            <rFont val="Tahoma"/>
            <family val="2"/>
          </rPr>
          <t xml:space="preserve"> en LV1 ou LV2 sur la langue de la section
- obtenir une note </t>
        </r>
        <r>
          <rPr>
            <sz val="14"/>
            <color indexed="81"/>
            <rFont val="Tahoma"/>
            <family val="2"/>
          </rPr>
          <t>&gt;=10</t>
        </r>
        <r>
          <rPr>
            <sz val="10"/>
            <color indexed="81"/>
            <rFont val="Tahoma"/>
            <family val="2"/>
          </rPr>
          <t xml:space="preserve"> en langue européenne</t>
        </r>
      </text>
    </comment>
  </commentList>
</comments>
</file>

<file path=xl/sharedStrings.xml><?xml version="1.0" encoding="utf-8"?>
<sst xmlns="http://schemas.openxmlformats.org/spreadsheetml/2006/main" count="212" uniqueCount="84">
  <si>
    <t>ACADEMIE DE LA REUNION</t>
  </si>
  <si>
    <t>SESSION :</t>
  </si>
  <si>
    <t>Juin</t>
  </si>
  <si>
    <t>Série :</t>
  </si>
  <si>
    <t>SPECIALITE :</t>
  </si>
  <si>
    <t>BACCALAUREAT GENERAL</t>
  </si>
  <si>
    <t>MATHEMATIQUES</t>
  </si>
  <si>
    <t>Prénom :</t>
  </si>
  <si>
    <t xml:space="preserve">Etablissement : </t>
  </si>
  <si>
    <t>LYC. MAHATMA GANDHI</t>
  </si>
  <si>
    <t>97440 ST ANDRE</t>
  </si>
  <si>
    <t>EPREUVES 1er GROUPE</t>
  </si>
  <si>
    <t>DISCIPLINES</t>
  </si>
  <si>
    <t>2è GROUPE</t>
  </si>
  <si>
    <t>1er GROUPE + 2è GROUPE</t>
  </si>
  <si>
    <t>NOTE
/20</t>
  </si>
  <si>
    <t>OBTENUE
EN ACA</t>
  </si>
  <si>
    <t>COEFF.</t>
  </si>
  <si>
    <t>POINTS</t>
  </si>
  <si>
    <t>POINTS
1er GROUPE</t>
  </si>
  <si>
    <t>POINTS
2è GROUPE</t>
  </si>
  <si>
    <t>POINTS
RETENUS</t>
  </si>
  <si>
    <t>HIST.GEOG.</t>
  </si>
  <si>
    <t>L.V.E. 1</t>
  </si>
  <si>
    <t>L.V.E. 2</t>
  </si>
  <si>
    <t>PHILOSOPHIE</t>
  </si>
  <si>
    <t>ED. PHYS. SPORT</t>
  </si>
  <si>
    <t>EPR. FACULT. 1</t>
  </si>
  <si>
    <t>EPR. FACULT. 2</t>
  </si>
  <si>
    <t>TOTAL</t>
  </si>
  <si>
    <t>MOYENNE SUR 20</t>
  </si>
  <si>
    <t>BAREME</t>
  </si>
  <si>
    <t>Total 1er groupe</t>
  </si>
  <si>
    <t>Total 2è groupe</t>
  </si>
  <si>
    <t>Moyenne</t>
  </si>
  <si>
    <t>8/20</t>
  </si>
  <si>
    <t>10/20</t>
  </si>
  <si>
    <t>12/20</t>
  </si>
  <si>
    <t>14/20</t>
  </si>
  <si>
    <t>16/20</t>
  </si>
  <si>
    <t>DECISION JURY</t>
  </si>
  <si>
    <t>1ER GROUPE :</t>
  </si>
  <si>
    <t>A MASQUER</t>
  </si>
  <si>
    <t>Cellule liée</t>
  </si>
  <si>
    <t>Ens Spé</t>
  </si>
  <si>
    <t>LV1</t>
  </si>
  <si>
    <t>LV2</t>
  </si>
  <si>
    <t>Epr Fac1</t>
  </si>
  <si>
    <t>Epr Fac2</t>
  </si>
  <si>
    <t>EPS</t>
  </si>
  <si>
    <t>ALLEMAND</t>
  </si>
  <si>
    <t>ART-ARTS PLASTIQUES</t>
  </si>
  <si>
    <t>EPS APTE</t>
  </si>
  <si>
    <t>ANGLAIS</t>
  </si>
  <si>
    <t>ART-DANSE</t>
  </si>
  <si>
    <t>EPS DISPENSE</t>
  </si>
  <si>
    <t>ESPAGNOL</t>
  </si>
  <si>
    <t>ART-MUSIQUE</t>
  </si>
  <si>
    <t>ART-THEATRE</t>
  </si>
  <si>
    <t>LATIN</t>
  </si>
  <si>
    <t>SECTION EUROP-ALLEMAND</t>
  </si>
  <si>
    <t>SECTION EUROP-ESPAGNOL</t>
  </si>
  <si>
    <t>TAMOUL</t>
  </si>
  <si>
    <t>Nom :</t>
  </si>
  <si>
    <t>FRANCAIS ECR.</t>
  </si>
  <si>
    <t>FRANCAIS ORAL</t>
  </si>
  <si>
    <t>LV1 EPF1</t>
  </si>
  <si>
    <t>LV1 EPF2</t>
  </si>
  <si>
    <t>LV2 EPF1</t>
  </si>
  <si>
    <t>LV2 EPF2</t>
  </si>
  <si>
    <t>somme</t>
  </si>
  <si>
    <t>LV3</t>
  </si>
  <si>
    <t>LANGUE VIVANTE 3</t>
  </si>
  <si>
    <t>RELEVÉ DE NOTES (SIMULATION)</t>
  </si>
  <si>
    <t>GESTION ET FINANCE</t>
  </si>
  <si>
    <t>MERCATIQUE</t>
  </si>
  <si>
    <t>RESS HUMAINES COMM</t>
  </si>
  <si>
    <t>STMG</t>
  </si>
  <si>
    <t>ETUDE DE GESTION</t>
  </si>
  <si>
    <t>ECO.-DROIT</t>
  </si>
  <si>
    <t>MANAG ORGANIS</t>
  </si>
  <si>
    <t>(6)</t>
  </si>
  <si>
    <t>ART-CINEMA-AUDIOVISUEL</t>
  </si>
  <si>
    <t>BACCALAUREAT TECHNOLOGIQUE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</si>
</sst>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* #,##0.00_);_(* \(#,##0.00\);_(* &quot;-&quot;??_);_(@_)"/>
  </numFmts>
  <fonts count="33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0"/>
      <color indexed="81"/>
      <name val="Tahoma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sz val="12"/>
      <name val="Calibri"/>
      <family val="2"/>
    </font>
    <font>
      <sz val="16"/>
      <name val="Calibri"/>
      <family val="2"/>
    </font>
    <font>
      <i/>
      <sz val="8"/>
      <color indexed="81"/>
      <name val="Tahoma"/>
      <family val="2"/>
    </font>
    <font>
      <sz val="20"/>
      <color theme="1"/>
      <name val="Calibri"/>
      <family val="2"/>
    </font>
    <font>
      <sz val="10"/>
      <color theme="2" tint="-0.249977111117893"/>
      <name val="Calibri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i/>
      <sz val="10"/>
      <color indexed="81"/>
      <name val="Tahoma"/>
      <family val="2"/>
    </font>
    <font>
      <b/>
      <i/>
      <sz val="8"/>
      <color indexed="81"/>
      <name val="Tahoma"/>
      <family val="2"/>
    </font>
    <font>
      <i/>
      <sz val="11"/>
      <color indexed="81"/>
      <name val="Tahoma"/>
      <family val="2"/>
    </font>
    <font>
      <u/>
      <sz val="10"/>
      <color indexed="81"/>
      <name val="Tahoma"/>
      <family val="2"/>
    </font>
    <font>
      <b/>
      <i/>
      <sz val="10"/>
      <color indexed="81"/>
      <name val="Tahoma"/>
      <family val="2"/>
    </font>
    <font>
      <b/>
      <sz val="11"/>
      <color indexed="81"/>
      <name val="Tahoma"/>
      <family val="2"/>
    </font>
    <font>
      <i/>
      <sz val="12"/>
      <color indexed="81"/>
      <name val="Tahoma"/>
      <family val="2"/>
    </font>
    <font>
      <u/>
      <sz val="12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00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right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11" xfId="0" applyFill="1" applyBorder="1" applyProtection="1"/>
    <xf numFmtId="0" fontId="0" fillId="2" borderId="10" xfId="0" applyFill="1" applyBorder="1" applyProtection="1"/>
    <xf numFmtId="0" fontId="0" fillId="2" borderId="7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2" xfId="0" applyFill="1" applyBorder="1" applyProtection="1"/>
    <xf numFmtId="0" fontId="0" fillId="2" borderId="14" xfId="0" applyFill="1" applyBorder="1" applyProtection="1"/>
    <xf numFmtId="0" fontId="0" fillId="2" borderId="13" xfId="0" applyFill="1" applyBorder="1" applyAlignment="1" applyProtection="1">
      <alignment horizontal="right" vertical="center"/>
    </xf>
    <xf numFmtId="0" fontId="0" fillId="2" borderId="5" xfId="0" applyFill="1" applyBorder="1" applyProtection="1"/>
    <xf numFmtId="43" fontId="15" fillId="2" borderId="1" xfId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/>
    </xf>
    <xf numFmtId="0" fontId="0" fillId="2" borderId="3" xfId="0" quotePrefix="1" applyFill="1" applyBorder="1" applyAlignment="1" applyProtection="1">
      <alignment horizontal="center" vertical="center"/>
    </xf>
    <xf numFmtId="0" fontId="0" fillId="2" borderId="15" xfId="0" quotePrefix="1" applyFill="1" applyBorder="1" applyAlignment="1" applyProtection="1">
      <alignment horizontal="center" vertical="center"/>
    </xf>
    <xf numFmtId="0" fontId="0" fillId="2" borderId="16" xfId="0" quotePrefix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16" fillId="2" borderId="0" xfId="0" applyFont="1" applyFill="1" applyProtection="1"/>
    <xf numFmtId="22" fontId="22" fillId="2" borderId="0" xfId="0" applyNumberFormat="1" applyFont="1" applyFill="1" applyProtection="1"/>
    <xf numFmtId="0" fontId="22" fillId="2" borderId="0" xfId="0" applyFont="1" applyFill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1" xfId="0" quotePrefix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1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8" xfId="0" applyFill="1" applyBorder="1" applyProtection="1"/>
    <xf numFmtId="0" fontId="0" fillId="0" borderId="0" xfId="0" applyFill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13" xfId="0" applyFill="1" applyBorder="1" applyAlignment="1" applyProtection="1">
      <alignment horizontal="right" vertical="center"/>
    </xf>
    <xf numFmtId="0" fontId="0" fillId="0" borderId="5" xfId="0" applyFill="1" applyBorder="1" applyProtection="1"/>
    <xf numFmtId="43" fontId="15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vertical="center"/>
    </xf>
    <xf numFmtId="0" fontId="0" fillId="0" borderId="3" xfId="0" quotePrefix="1" applyFill="1" applyBorder="1" applyAlignment="1" applyProtection="1">
      <alignment horizontal="center" vertical="center"/>
    </xf>
    <xf numFmtId="0" fontId="0" fillId="0" borderId="15" xfId="0" quotePrefix="1" applyFill="1" applyBorder="1" applyAlignment="1" applyProtection="1">
      <alignment horizontal="center" vertical="center"/>
    </xf>
    <xf numFmtId="0" fontId="0" fillId="0" borderId="16" xfId="0" quotePrefix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16" fillId="0" borderId="0" xfId="0" applyFont="1" applyFill="1" applyProtection="1"/>
    <xf numFmtId="0" fontId="3" fillId="0" borderId="0" xfId="0" applyFont="1" applyFill="1" applyProtection="1"/>
    <xf numFmtId="22" fontId="3" fillId="0" borderId="0" xfId="0" applyNumberFormat="1" applyFont="1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right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43" fontId="4" fillId="2" borderId="3" xfId="1" applyFont="1" applyFill="1" applyBorder="1" applyAlignment="1" applyProtection="1">
      <alignment horizontal="center" vertical="center"/>
    </xf>
    <xf numFmtId="43" fontId="4" fillId="2" borderId="4" xfId="1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textRotation="255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textRotation="90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21" fillId="2" borderId="17" xfId="0" applyFont="1" applyFill="1" applyBorder="1" applyAlignment="1" applyProtection="1">
      <alignment horizontal="left" vertical="center" wrapText="1"/>
    </xf>
    <xf numFmtId="0" fontId="21" fillId="2" borderId="1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left" vertical="center"/>
    </xf>
    <xf numFmtId="0" fontId="17" fillId="2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left" vertical="center"/>
    </xf>
    <xf numFmtId="0" fontId="17" fillId="2" borderId="14" xfId="0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 applyProtection="1">
      <alignment horizontal="left" vertical="center"/>
    </xf>
    <xf numFmtId="0" fontId="19" fillId="2" borderId="14" xfId="0" applyFont="1" applyFill="1" applyBorder="1" applyAlignment="1" applyProtection="1">
      <alignment horizontal="left" vertical="center"/>
    </xf>
    <xf numFmtId="0" fontId="0" fillId="2" borderId="10" xfId="0" quotePrefix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0" xfId="0" quotePrefix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 vertical="center" textRotation="255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3" fontId="4" fillId="0" borderId="3" xfId="1" applyFont="1" applyFill="1" applyBorder="1" applyAlignment="1" applyProtection="1">
      <alignment horizontal="center" vertical="center"/>
    </xf>
    <xf numFmtId="43" fontId="4" fillId="0" borderId="4" xfId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17" fillId="0" borderId="17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14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17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14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/>
    </xf>
  </cellXfs>
  <cellStyles count="86">
    <cellStyle name="Excel Built-in Normal" xfId="2"/>
    <cellStyle name="Milliers" xfId="1" builtinId="3"/>
    <cellStyle name="Milliers 2" xfId="3"/>
    <cellStyle name="Milliers 3" xfId="4"/>
    <cellStyle name="Milliers 4" xfId="5"/>
    <cellStyle name="Normal" xfId="0" builtinId="0"/>
    <cellStyle name="Normal 10" xfId="6"/>
    <cellStyle name="Normal 10 2" xfId="7"/>
    <cellStyle name="Normal 10 2 2" xfId="8"/>
    <cellStyle name="Normal 10 3" xfId="9"/>
    <cellStyle name="Normal 11" xfId="10"/>
    <cellStyle name="Normal 12" xfId="11"/>
    <cellStyle name="Normal 12 2" xfId="12"/>
    <cellStyle name="Normal 13" xfId="13"/>
    <cellStyle name="Normal 14" xfId="14"/>
    <cellStyle name="Normal 2" xfId="15"/>
    <cellStyle name="Normal 2 2" xfId="16"/>
    <cellStyle name="Normal 2 3" xfId="17"/>
    <cellStyle name="Normal 2 4" xfId="18"/>
    <cellStyle name="Normal 3" xfId="19"/>
    <cellStyle name="Normal 3 2" xfId="20"/>
    <cellStyle name="Normal 3 3" xfId="21"/>
    <cellStyle name="Normal 4" xfId="22"/>
    <cellStyle name="Normal 4 2" xfId="23"/>
    <cellStyle name="Normal 4 2 2" xfId="24"/>
    <cellStyle name="Normal 4 2 2 2" xfId="25"/>
    <cellStyle name="Normal 4 2 2 2 2" xfId="26"/>
    <cellStyle name="Normal 4 2 2 2 2 2" xfId="27"/>
    <cellStyle name="Normal 4 2 2 2 3" xfId="28"/>
    <cellStyle name="Normal 4 2 2 3" xfId="29"/>
    <cellStyle name="Normal 4 2 2 3 2" xfId="30"/>
    <cellStyle name="Normal 4 2 2 4" xfId="31"/>
    <cellStyle name="Normal 4 2 3" xfId="32"/>
    <cellStyle name="Normal 4 2 3 2" xfId="33"/>
    <cellStyle name="Normal 4 2 3 2 2" xfId="34"/>
    <cellStyle name="Normal 4 2 3 3" xfId="35"/>
    <cellStyle name="Normal 4 2 4" xfId="36"/>
    <cellStyle name="Normal 4 2 4 2" xfId="37"/>
    <cellStyle name="Normal 4 2 5" xfId="38"/>
    <cellStyle name="Normal 4 3" xfId="39"/>
    <cellStyle name="Normal 4 3 2" xfId="40"/>
    <cellStyle name="Normal 4 3 2 2" xfId="41"/>
    <cellStyle name="Normal 4 3 2 2 2" xfId="42"/>
    <cellStyle name="Normal 4 3 2 3" xfId="43"/>
    <cellStyle name="Normal 4 3 3" xfId="44"/>
    <cellStyle name="Normal 4 3 3 2" xfId="45"/>
    <cellStyle name="Normal 4 3 4" xfId="46"/>
    <cellStyle name="Normal 4 4" xfId="47"/>
    <cellStyle name="Normal 4 4 2" xfId="48"/>
    <cellStyle name="Normal 4 4 2 2" xfId="49"/>
    <cellStyle name="Normal 4 4 3" xfId="50"/>
    <cellStyle name="Normal 4 5" xfId="51"/>
    <cellStyle name="Normal 4 5 2" xfId="52"/>
    <cellStyle name="Normal 4 6" xfId="53"/>
    <cellStyle name="Normal 5" xfId="54"/>
    <cellStyle name="Normal 5 2" xfId="55"/>
    <cellStyle name="Normal 5 2 2" xfId="56"/>
    <cellStyle name="Normal 5 3" xfId="57"/>
    <cellStyle name="Normal 6" xfId="58"/>
    <cellStyle name="Normal 6 2" xfId="59"/>
    <cellStyle name="Normal 6 2 2" xfId="60"/>
    <cellStyle name="Normal 6 3" xfId="61"/>
    <cellStyle name="Normal 7" xfId="62"/>
    <cellStyle name="Normal 7 2" xfId="63"/>
    <cellStyle name="Normal 7 2 2" xfId="64"/>
    <cellStyle name="Normal 7 3" xfId="65"/>
    <cellStyle name="Normal 8" xfId="66"/>
    <cellStyle name="Normal 8 2" xfId="67"/>
    <cellStyle name="Normal 8 2 2" xfId="68"/>
    <cellStyle name="Normal 8 2 2 2" xfId="69"/>
    <cellStyle name="Normal 8 2 2 2 2" xfId="70"/>
    <cellStyle name="Normal 8 2 2 3" xfId="71"/>
    <cellStyle name="Normal 8 2 3" xfId="72"/>
    <cellStyle name="Normal 8 2 3 2" xfId="73"/>
    <cellStyle name="Normal 8 2 4" xfId="74"/>
    <cellStyle name="Normal 8 3" xfId="75"/>
    <cellStyle name="Normal 8 3 2" xfId="76"/>
    <cellStyle name="Normal 8 3 2 2" xfId="77"/>
    <cellStyle name="Normal 8 3 3" xfId="78"/>
    <cellStyle name="Normal 8 4" xfId="79"/>
    <cellStyle name="Normal 8 4 2" xfId="80"/>
    <cellStyle name="Normal 8 5" xfId="81"/>
    <cellStyle name="Normal 9" xfId="82"/>
    <cellStyle name="Pourcentage 2" xfId="83"/>
    <cellStyle name="Pourcentage 3" xfId="84"/>
    <cellStyle name="Pourcentage 4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895349</xdr:colOff>
      <xdr:row>2</xdr:row>
      <xdr:rowOff>85725</xdr:rowOff>
    </xdr:from>
    <xdr:to>
      <xdr:col>11</xdr:col>
      <xdr:colOff>85725</xdr:colOff>
      <xdr:row>6</xdr:row>
      <xdr:rowOff>19049</xdr:rowOff>
    </xdr:to>
    <xdr:grpSp>
      <xdr:nvGrpSpPr>
        <xdr:cNvPr id="2" name="Groupe 1"/>
        <xdr:cNvGrpSpPr/>
      </xdr:nvGrpSpPr>
      <xdr:grpSpPr>
        <a:xfrm>
          <a:off x="3962399" y="447675"/>
          <a:ext cx="2324101" cy="723899"/>
          <a:chOff x="7124700" y="161925"/>
          <a:chExt cx="2324101" cy="723899"/>
        </a:xfrm>
      </xdr:grpSpPr>
      <xdr:sp macro="" textlink="">
        <xdr:nvSpPr>
          <xdr:cNvPr id="3" name="ZoneTexte 2"/>
          <xdr:cNvSpPr txBox="1"/>
        </xdr:nvSpPr>
        <xdr:spPr>
          <a:xfrm>
            <a:off x="7124700" y="314325"/>
            <a:ext cx="2324101" cy="571499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fr-FR" sz="1400" baseline="0"/>
              <a:t>Sélectionnez votre enseignement de spécialité</a:t>
            </a:r>
            <a:endParaRPr lang="fr-FR" sz="1400"/>
          </a:p>
        </xdr:txBody>
      </xdr:sp>
      <xdr:cxnSp macro="">
        <xdr:nvCxnSpPr>
          <xdr:cNvPr id="4" name="Connecteur droit avec flèche 3"/>
          <xdr:cNvCxnSpPr/>
        </xdr:nvCxnSpPr>
        <xdr:spPr>
          <a:xfrm rot="10800000">
            <a:off x="9048751" y="161925"/>
            <a:ext cx="238126" cy="153988"/>
          </a:xfrm>
          <a:prstGeom prst="straightConnector1">
            <a:avLst/>
          </a:prstGeom>
          <a:ln w="2857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absolute">
    <xdr:from>
      <xdr:col>1</xdr:col>
      <xdr:colOff>0</xdr:colOff>
      <xdr:row>14</xdr:row>
      <xdr:rowOff>0</xdr:rowOff>
    </xdr:from>
    <xdr:to>
      <xdr:col>6</xdr:col>
      <xdr:colOff>186375</xdr:colOff>
      <xdr:row>18</xdr:row>
      <xdr:rowOff>47625</xdr:rowOff>
    </xdr:to>
    <xdr:sp macro="" textlink="">
      <xdr:nvSpPr>
        <xdr:cNvPr id="8" name="ZoneTexte 7"/>
        <xdr:cNvSpPr txBox="1"/>
      </xdr:nvSpPr>
      <xdr:spPr>
        <a:xfrm rot="19389152">
          <a:off x="466725" y="2609850"/>
          <a:ext cx="246285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9</xdr:col>
      <xdr:colOff>0</xdr:colOff>
      <xdr:row>14</xdr:row>
      <xdr:rowOff>0</xdr:rowOff>
    </xdr:from>
    <xdr:to>
      <xdr:col>13</xdr:col>
      <xdr:colOff>100650</xdr:colOff>
      <xdr:row>18</xdr:row>
      <xdr:rowOff>47625</xdr:rowOff>
    </xdr:to>
    <xdr:sp macro="" textlink="">
      <xdr:nvSpPr>
        <xdr:cNvPr id="9" name="ZoneTexte 8"/>
        <xdr:cNvSpPr txBox="1"/>
      </xdr:nvSpPr>
      <xdr:spPr>
        <a:xfrm rot="19389152">
          <a:off x="5086350" y="2609850"/>
          <a:ext cx="246285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7</xdr:col>
      <xdr:colOff>0</xdr:colOff>
      <xdr:row>42</xdr:row>
      <xdr:rowOff>0</xdr:rowOff>
    </xdr:from>
    <xdr:to>
      <xdr:col>10</xdr:col>
      <xdr:colOff>24450</xdr:colOff>
      <xdr:row>45</xdr:row>
      <xdr:rowOff>19050</xdr:rowOff>
    </xdr:to>
    <xdr:sp macro="" textlink="">
      <xdr:nvSpPr>
        <xdr:cNvPr id="10" name="ZoneTexte 9"/>
        <xdr:cNvSpPr txBox="1"/>
      </xdr:nvSpPr>
      <xdr:spPr>
        <a:xfrm rot="19389152">
          <a:off x="3067050" y="7610475"/>
          <a:ext cx="246285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14</xdr:row>
      <xdr:rowOff>0</xdr:rowOff>
    </xdr:from>
    <xdr:to>
      <xdr:col>6</xdr:col>
      <xdr:colOff>186375</xdr:colOff>
      <xdr:row>18</xdr:row>
      <xdr:rowOff>47625</xdr:rowOff>
    </xdr:to>
    <xdr:sp macro="" textlink="">
      <xdr:nvSpPr>
        <xdr:cNvPr id="3" name="ZoneTexte 2"/>
        <xdr:cNvSpPr txBox="1"/>
      </xdr:nvSpPr>
      <xdr:spPr>
        <a:xfrm rot="19389152">
          <a:off x="466725" y="2609850"/>
          <a:ext cx="246285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9</xdr:col>
      <xdr:colOff>0</xdr:colOff>
      <xdr:row>14</xdr:row>
      <xdr:rowOff>0</xdr:rowOff>
    </xdr:from>
    <xdr:to>
      <xdr:col>13</xdr:col>
      <xdr:colOff>100650</xdr:colOff>
      <xdr:row>18</xdr:row>
      <xdr:rowOff>47625</xdr:rowOff>
    </xdr:to>
    <xdr:sp macro="" textlink="">
      <xdr:nvSpPr>
        <xdr:cNvPr id="4" name="ZoneTexte 3"/>
        <xdr:cNvSpPr txBox="1"/>
      </xdr:nvSpPr>
      <xdr:spPr>
        <a:xfrm rot="19389152">
          <a:off x="5086350" y="2609850"/>
          <a:ext cx="246285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  <xdr:twoCellAnchor editAs="absolute">
    <xdr:from>
      <xdr:col>7</xdr:col>
      <xdr:colOff>0</xdr:colOff>
      <xdr:row>42</xdr:row>
      <xdr:rowOff>0</xdr:rowOff>
    </xdr:from>
    <xdr:to>
      <xdr:col>10</xdr:col>
      <xdr:colOff>24450</xdr:colOff>
      <xdr:row>45</xdr:row>
      <xdr:rowOff>19050</xdr:rowOff>
    </xdr:to>
    <xdr:sp macro="" textlink="">
      <xdr:nvSpPr>
        <xdr:cNvPr id="5" name="ZoneTexte 4"/>
        <xdr:cNvSpPr txBox="1"/>
      </xdr:nvSpPr>
      <xdr:spPr>
        <a:xfrm rot="19389152">
          <a:off x="3067050" y="7610475"/>
          <a:ext cx="2462850" cy="6953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3200">
              <a:solidFill>
                <a:sysClr val="windowText" lastClr="000000"/>
              </a:solidFill>
            </a:rPr>
            <a:t>SIMULATION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Q72"/>
  <sheetViews>
    <sheetView showGridLines="0" tabSelected="1" workbookViewId="0">
      <selection activeCell="B5" sqref="B5:E5"/>
    </sheetView>
  </sheetViews>
  <sheetFormatPr baseColWidth="10" defaultRowHeight="12.75"/>
  <cols>
    <col min="1" max="1" width="7" style="1" customWidth="1"/>
    <col min="2" max="2" width="12" style="1" bestFit="1" customWidth="1"/>
    <col min="3" max="3" width="6" style="1" customWidth="1"/>
    <col min="4" max="5" width="5.7109375" style="1" bestFit="1" customWidth="1"/>
    <col min="6" max="6" width="4.7109375" style="1" customWidth="1"/>
    <col min="7" max="7" width="4.85546875" style="1" customWidth="1"/>
    <col min="8" max="8" width="22.140625" style="1" customWidth="1"/>
    <col min="9" max="9" width="8.140625" style="1" bestFit="1" customWidth="1"/>
    <col min="10" max="10" width="6.28515625" style="1" bestFit="1" customWidth="1"/>
    <col min="11" max="11" width="10.42578125" style="1" bestFit="1" customWidth="1"/>
    <col min="12" max="12" width="9.7109375" style="1" bestFit="1" customWidth="1"/>
    <col min="13" max="13" width="9" style="1" customWidth="1"/>
    <col min="14" max="16384" width="11.42578125" style="1"/>
  </cols>
  <sheetData>
    <row r="1" spans="1:13" ht="15.75">
      <c r="A1" s="1" t="s">
        <v>0</v>
      </c>
      <c r="F1" s="46">
        <f ca="1">NOW()</f>
        <v>42060.801733796296</v>
      </c>
      <c r="H1" s="2" t="s">
        <v>1</v>
      </c>
      <c r="I1" s="3" t="s">
        <v>2</v>
      </c>
      <c r="J1" s="2">
        <f ca="1">YEAR(F1)</f>
        <v>2015</v>
      </c>
      <c r="K1" s="4" t="s">
        <v>3</v>
      </c>
      <c r="L1" s="5" t="s">
        <v>77</v>
      </c>
    </row>
    <row r="2" spans="1:13">
      <c r="H2" s="1" t="s">
        <v>4</v>
      </c>
      <c r="I2" s="6">
        <f>INDEX(B56:B60,B54,1)</f>
        <v>0</v>
      </c>
    </row>
    <row r="3" spans="1:13" ht="15.75">
      <c r="A3" s="7" t="s">
        <v>5</v>
      </c>
      <c r="I3" s="8"/>
    </row>
    <row r="4" spans="1:13" ht="21">
      <c r="F4" s="9" t="s">
        <v>73</v>
      </c>
    </row>
    <row r="5" spans="1:13">
      <c r="A5" s="1" t="s">
        <v>63</v>
      </c>
      <c r="B5" s="141"/>
      <c r="C5" s="142"/>
      <c r="D5" s="142"/>
      <c r="E5" s="143"/>
      <c r="F5" s="10"/>
    </row>
    <row r="6" spans="1:13">
      <c r="A6" s="1" t="s">
        <v>7</v>
      </c>
      <c r="B6" s="141"/>
      <c r="C6" s="142"/>
      <c r="D6" s="142"/>
      <c r="E6" s="143"/>
      <c r="F6" s="10"/>
    </row>
    <row r="8" spans="1:13">
      <c r="A8" s="1" t="s">
        <v>8</v>
      </c>
      <c r="C8" s="1" t="s">
        <v>9</v>
      </c>
    </row>
    <row r="9" spans="1:13">
      <c r="C9" s="1" t="s">
        <v>10</v>
      </c>
      <c r="J9" s="11"/>
    </row>
    <row r="11" spans="1:13" ht="12.75" customHeight="1">
      <c r="A11" s="144" t="s">
        <v>11</v>
      </c>
      <c r="B11" s="144"/>
      <c r="C11" s="144"/>
      <c r="D11" s="144"/>
      <c r="E11" s="144"/>
      <c r="F11" s="144"/>
      <c r="G11" s="144"/>
      <c r="H11" s="154" t="s">
        <v>12</v>
      </c>
      <c r="I11" s="145" t="s">
        <v>13</v>
      </c>
      <c r="J11" s="146"/>
      <c r="K11" s="147" t="s">
        <v>14</v>
      </c>
      <c r="L11" s="148"/>
      <c r="M11" s="149"/>
    </row>
    <row r="12" spans="1:13" ht="25.5">
      <c r="A12" s="49" t="s">
        <v>15</v>
      </c>
      <c r="B12" s="12" t="s">
        <v>16</v>
      </c>
      <c r="C12" s="12"/>
      <c r="D12" s="150" t="s">
        <v>17</v>
      </c>
      <c r="E12" s="151"/>
      <c r="F12" s="150" t="s">
        <v>18</v>
      </c>
      <c r="G12" s="151"/>
      <c r="H12" s="155"/>
      <c r="I12" s="13" t="s">
        <v>15</v>
      </c>
      <c r="J12" s="14" t="s">
        <v>17</v>
      </c>
      <c r="K12" s="13" t="s">
        <v>19</v>
      </c>
      <c r="L12" s="13" t="s">
        <v>20</v>
      </c>
      <c r="M12" s="13" t="s">
        <v>21</v>
      </c>
    </row>
    <row r="13" spans="1:13">
      <c r="A13" s="50"/>
      <c r="B13" s="15">
        <f ca="1">$J$1-1</f>
        <v>2014</v>
      </c>
      <c r="C13" s="15"/>
      <c r="D13" s="152">
        <v>2</v>
      </c>
      <c r="E13" s="153"/>
      <c r="F13" s="152" t="str">
        <f>IF(A13="","",A13*D13)</f>
        <v/>
      </c>
      <c r="G13" s="153"/>
      <c r="H13" s="16" t="s">
        <v>64</v>
      </c>
      <c r="I13" s="17"/>
      <c r="J13" s="18" t="str">
        <f t="shared" ref="J13:J14" si="0">IF(OR($F$39&lt;8,$F$39&gt;=10),"",D13)</f>
        <v/>
      </c>
      <c r="K13" s="15" t="str">
        <f t="shared" ref="K13:K14" si="1">IF($F$39&lt;8,"",IF($F$39&gt;=10,"",F13))</f>
        <v/>
      </c>
      <c r="L13" s="15" t="str">
        <f t="shared" ref="L13:L14" si="2">IF($F$39&lt;8,"",IF($F$39&gt;=10,"",IF(I13="","",I13*J13)))</f>
        <v/>
      </c>
      <c r="M13" s="15" t="str">
        <f t="shared" ref="M13:M14" si="3">IF(I13="",K13,IF(L13&gt;=K13,L13,K13))</f>
        <v/>
      </c>
    </row>
    <row r="14" spans="1:13" ht="12.75" customHeight="1">
      <c r="A14" s="48"/>
      <c r="B14" s="15">
        <f ca="1">$J$1-1</f>
        <v>2014</v>
      </c>
      <c r="C14" s="15"/>
      <c r="D14" s="115">
        <v>2</v>
      </c>
      <c r="E14" s="116"/>
      <c r="F14" s="115" t="str">
        <f t="shared" ref="F14" si="4">IF(A14="","",A14*D14)</f>
        <v/>
      </c>
      <c r="G14" s="116"/>
      <c r="H14" s="19" t="s">
        <v>65</v>
      </c>
      <c r="I14" s="15"/>
      <c r="J14" s="18" t="str">
        <f t="shared" si="0"/>
        <v/>
      </c>
      <c r="K14" s="15" t="str">
        <f t="shared" si="1"/>
        <v/>
      </c>
      <c r="L14" s="15" t="str">
        <f t="shared" si="2"/>
        <v/>
      </c>
      <c r="M14" s="15" t="str">
        <f t="shared" si="3"/>
        <v/>
      </c>
    </row>
    <row r="15" spans="1:13" ht="12.75" customHeight="1">
      <c r="A15" s="48"/>
      <c r="B15" s="15">
        <f ca="1">$J$1-1</f>
        <v>2014</v>
      </c>
      <c r="C15" s="15"/>
      <c r="D15" s="115"/>
      <c r="E15" s="116"/>
      <c r="F15" s="115" t="str">
        <f>IF(A15="","",IF(A15&lt;=10,"",(A15-10)*2))</f>
        <v/>
      </c>
      <c r="G15" s="116"/>
      <c r="H15" s="1" t="s">
        <v>78</v>
      </c>
      <c r="I15" s="15"/>
      <c r="J15" s="18"/>
      <c r="K15" s="15" t="str">
        <f t="shared" ref="K15" si="5">IF($F$39&lt;8,"",IF($F$39&gt;=10,"",F15))</f>
        <v/>
      </c>
      <c r="L15" s="15" t="str">
        <f t="shared" ref="L15" si="6">IF($F$39&lt;8,"",IF($F$39&gt;=10,"",IF(I15="","",I15*J15)))</f>
        <v/>
      </c>
      <c r="M15" s="15" t="str">
        <f t="shared" ref="M15" si="7">IF(I15="",K15,IF(L15&gt;=K15,L15,K15))</f>
        <v/>
      </c>
    </row>
    <row r="16" spans="1:13" ht="12.75" customHeight="1">
      <c r="A16" s="48"/>
      <c r="B16" s="15"/>
      <c r="C16" s="15"/>
      <c r="D16" s="115" t="str">
        <f>IF(A16="","",2)</f>
        <v/>
      </c>
      <c r="E16" s="116"/>
      <c r="F16" s="115" t="str">
        <f>IF(A16="","",A16*D16)</f>
        <v/>
      </c>
      <c r="G16" s="116"/>
      <c r="H16" s="19" t="s">
        <v>26</v>
      </c>
      <c r="I16" s="15"/>
      <c r="J16" s="18" t="str">
        <f>IF(OR($F$39&lt;8,$F$39&gt;=10),"",D16)</f>
        <v/>
      </c>
      <c r="K16" s="15" t="str">
        <f>IF($F$39&lt;8,"",IF($F$39&gt;=10,"",F16))</f>
        <v/>
      </c>
      <c r="L16" s="15" t="str">
        <f>IF($F$39&lt;8,"",IF($F$39&gt;=10,"",IF(I16="","",I16*J16)))</f>
        <v/>
      </c>
      <c r="M16" s="15" t="str">
        <f>IF(I16="",K16,IF(L16&gt;=K16,L16,K16))</f>
        <v/>
      </c>
    </row>
    <row r="17" spans="1:14" ht="12.75" customHeight="1">
      <c r="A17" s="15"/>
      <c r="B17" s="15"/>
      <c r="C17" s="15"/>
      <c r="D17" s="115"/>
      <c r="E17" s="116"/>
      <c r="F17" s="115"/>
      <c r="G17" s="116"/>
      <c r="H17" s="19" t="str">
        <f>IF(L54=1,"",INDEX(K56:L59,L54,2))</f>
        <v>EPS APTE</v>
      </c>
      <c r="I17" s="15"/>
      <c r="J17" s="18"/>
      <c r="K17" s="15"/>
      <c r="L17" s="15" t="str">
        <f>IF($F$39&lt;8,"",IF($F$39&gt;=10,"",IF(I17="","",I17*J17)))</f>
        <v/>
      </c>
      <c r="M17" s="15"/>
    </row>
    <row r="18" spans="1:14" ht="12.75" customHeight="1">
      <c r="A18" s="48"/>
      <c r="B18" s="15"/>
      <c r="C18" s="15"/>
      <c r="D18" s="115">
        <v>2</v>
      </c>
      <c r="E18" s="116"/>
      <c r="F18" s="115" t="str">
        <f>IF(A18="","",A18*D18)</f>
        <v/>
      </c>
      <c r="G18" s="116"/>
      <c r="H18" s="19" t="s">
        <v>22</v>
      </c>
      <c r="I18" s="96"/>
      <c r="J18" s="18" t="str">
        <f>IF(OR($F$39&lt;8,$F$39&gt;=10),"",D18)</f>
        <v/>
      </c>
      <c r="K18" s="15" t="str">
        <f>IF($F$39&lt;8,"",IF($F$39&gt;=10,"",F18))</f>
        <v/>
      </c>
      <c r="L18" s="15" t="str">
        <f>IF($F$39&lt;8,"",IF($F$39&gt;=10,"",IF(I18="","",I18*J18)))</f>
        <v/>
      </c>
      <c r="M18" s="15" t="str">
        <f>IF(I18="",K18,IF(L18&gt;=K18,L18,K18))</f>
        <v/>
      </c>
    </row>
    <row r="19" spans="1:14" ht="12.75" customHeight="1">
      <c r="A19" s="48"/>
      <c r="B19" s="20"/>
      <c r="C19" s="20"/>
      <c r="D19" s="115">
        <v>3</v>
      </c>
      <c r="E19" s="116"/>
      <c r="F19" s="115" t="str">
        <f t="shared" ref="F19" si="8">IF(A19="","",A19*D19)</f>
        <v/>
      </c>
      <c r="G19" s="116"/>
      <c r="H19" s="20" t="s">
        <v>23</v>
      </c>
      <c r="I19" s="48"/>
      <c r="J19" s="18" t="str">
        <f t="shared" ref="J19" si="9">IF(OR($F$39&lt;8,$F$39&gt;=10),"",D19)</f>
        <v/>
      </c>
      <c r="K19" s="15" t="str">
        <f t="shared" ref="K19" si="10">IF($F$39&lt;8,"",IF($F$39&gt;=10,"",F19))</f>
        <v/>
      </c>
      <c r="L19" s="15" t="str">
        <f t="shared" ref="L19" si="11">IF($F$39&lt;8,"",IF($F$39&gt;=10,"",IF(I19="","",I19*J19)))</f>
        <v/>
      </c>
      <c r="M19" s="15" t="str">
        <f t="shared" ref="M19" si="12">IF(I19="",K19,IF(L19&gt;=K19,L19,K19))</f>
        <v/>
      </c>
    </row>
    <row r="20" spans="1:14">
      <c r="A20" s="15"/>
      <c r="B20" s="15"/>
      <c r="C20" s="15"/>
      <c r="D20" s="115"/>
      <c r="E20" s="116"/>
      <c r="F20" s="115"/>
      <c r="G20" s="116"/>
      <c r="H20" s="22" t="str">
        <f>IF(D54=1,"",INDEX(C56:D60,D54,2))</f>
        <v/>
      </c>
      <c r="I20" s="15"/>
      <c r="J20" s="18"/>
      <c r="K20" s="15"/>
      <c r="L20" s="15" t="str">
        <f t="shared" ref="L20:L27" si="13">IF($F$39&lt;8,"",IF($F$39&gt;=10,"",IF(I20="","",I20*J20)))</f>
        <v/>
      </c>
      <c r="M20" s="15"/>
    </row>
    <row r="21" spans="1:14">
      <c r="A21" s="48"/>
      <c r="B21" s="15"/>
      <c r="C21" s="15"/>
      <c r="D21" s="115">
        <v>2</v>
      </c>
      <c r="E21" s="116"/>
      <c r="F21" s="115" t="str">
        <f>IF(A21="","",A21*D21)</f>
        <v/>
      </c>
      <c r="G21" s="116"/>
      <c r="H21" s="19" t="s">
        <v>24</v>
      </c>
      <c r="I21" s="48"/>
      <c r="J21" s="18" t="str">
        <f>IF(OR($F$39&lt;8,$F$39&gt;=10),"",D21)</f>
        <v/>
      </c>
      <c r="K21" s="15" t="str">
        <f>IF($F$39&lt;8,"",IF($F$39&gt;=10,"",F21))</f>
        <v/>
      </c>
      <c r="L21" s="15" t="str">
        <f t="shared" si="13"/>
        <v/>
      </c>
      <c r="M21" s="15" t="str">
        <f>IF(I21="",K21,IF(L21&gt;=K21,L21,K21))</f>
        <v/>
      </c>
    </row>
    <row r="22" spans="1:14">
      <c r="A22" s="15"/>
      <c r="B22" s="15"/>
      <c r="C22" s="15"/>
      <c r="D22" s="115"/>
      <c r="E22" s="116"/>
      <c r="F22" s="115"/>
      <c r="G22" s="116"/>
      <c r="H22" s="22" t="str">
        <f>IF(F54=1,"",INDEX(E56:F60,F54,2))</f>
        <v/>
      </c>
      <c r="I22" s="15"/>
      <c r="J22" s="18"/>
      <c r="K22" s="15"/>
      <c r="L22" s="15" t="str">
        <f t="shared" si="13"/>
        <v/>
      </c>
      <c r="M22" s="15"/>
    </row>
    <row r="23" spans="1:14">
      <c r="A23" s="48"/>
      <c r="B23" s="15"/>
      <c r="C23" s="15"/>
      <c r="D23" s="115">
        <v>3</v>
      </c>
      <c r="E23" s="116"/>
      <c r="F23" s="115" t="str">
        <f>IF(A23="","",A23*D23)</f>
        <v/>
      </c>
      <c r="G23" s="116"/>
      <c r="H23" s="19" t="s">
        <v>6</v>
      </c>
      <c r="I23" s="48"/>
      <c r="J23" s="18" t="str">
        <f>IF(OR($F$39&lt;8,$F$39&gt;=10),"",D23)</f>
        <v/>
      </c>
      <c r="K23" s="15" t="str">
        <f>IF($F$39&lt;8,"",IF($F$39&gt;=10,"",F23))</f>
        <v/>
      </c>
      <c r="L23" s="15" t="str">
        <f t="shared" si="13"/>
        <v/>
      </c>
      <c r="M23" s="15" t="str">
        <f>IF(I23="",K23,IF(L23&gt;=K23,L23,K23))</f>
        <v/>
      </c>
    </row>
    <row r="24" spans="1:14">
      <c r="A24" s="48"/>
      <c r="B24" s="15"/>
      <c r="C24" s="15"/>
      <c r="D24" s="115">
        <v>2</v>
      </c>
      <c r="E24" s="116"/>
      <c r="F24" s="115" t="str">
        <f>IF(A24="","",A24*D24)</f>
        <v/>
      </c>
      <c r="G24" s="116"/>
      <c r="H24" s="19" t="s">
        <v>25</v>
      </c>
      <c r="I24" s="48"/>
      <c r="J24" s="18" t="str">
        <f>IF(OR($F$39&lt;8,$F$39&gt;=10),"",D24)</f>
        <v/>
      </c>
      <c r="K24" s="15" t="str">
        <f>IF($F$39&lt;8,"",IF($F$39&gt;=10,"",F24))</f>
        <v/>
      </c>
      <c r="L24" s="15" t="str">
        <f t="shared" si="13"/>
        <v/>
      </c>
      <c r="M24" s="15" t="str">
        <f>IF(I24="",K24,IF(L24&gt;=K24,L24,K24))</f>
        <v/>
      </c>
    </row>
    <row r="25" spans="1:14">
      <c r="A25" s="48"/>
      <c r="B25" s="15"/>
      <c r="C25" s="100"/>
      <c r="D25" s="115">
        <v>5</v>
      </c>
      <c r="E25" s="116"/>
      <c r="F25" s="115" t="str">
        <f>IF(A25="","",A25*D25)</f>
        <v/>
      </c>
      <c r="G25" s="116"/>
      <c r="H25" s="19" t="s">
        <v>79</v>
      </c>
      <c r="I25" s="48"/>
      <c r="J25" s="100" t="str">
        <f>IF(OR($F$39&lt;8,$F$39&gt;=10),"",D25)</f>
        <v/>
      </c>
      <c r="K25" s="100" t="str">
        <f>IF($F$39&lt;8,"",IF($F$39&gt;=10,"",F25))</f>
        <v/>
      </c>
      <c r="L25" s="100" t="str">
        <f t="shared" si="13"/>
        <v/>
      </c>
      <c r="M25" s="15" t="str">
        <f>IF(I25="",K25,IF(L25&gt;=K25,L25,K25))</f>
        <v/>
      </c>
      <c r="N25" s="6"/>
    </row>
    <row r="26" spans="1:14">
      <c r="A26" s="48"/>
      <c r="B26" s="15"/>
      <c r="C26" s="100"/>
      <c r="D26" s="115">
        <v>5</v>
      </c>
      <c r="E26" s="116"/>
      <c r="F26" s="115" t="str">
        <f>IF(A26="","",A26*D26)</f>
        <v/>
      </c>
      <c r="G26" s="116"/>
      <c r="H26" s="20" t="s">
        <v>80</v>
      </c>
      <c r="I26" s="106"/>
      <c r="J26" s="100" t="str">
        <f>IF(OR($F$39&lt;8,$F$39&gt;=10),"",D26)</f>
        <v/>
      </c>
      <c r="K26" s="100" t="str">
        <f>IF($F$39&lt;8,"",IF($F$39&gt;=10,"",F26))</f>
        <v/>
      </c>
      <c r="L26" s="100" t="str">
        <f t="shared" si="13"/>
        <v/>
      </c>
      <c r="M26" s="15" t="str">
        <f>IF(I26="",K26,IF(L26&gt;=K26,L26,K26))</f>
        <v/>
      </c>
      <c r="N26" s="6"/>
    </row>
    <row r="27" spans="1:14">
      <c r="A27" s="15" t="str">
        <f>IF(OR(A28="",A29=""),"",ROUNDUP(AVERAGE(A28:A29),0))</f>
        <v/>
      </c>
      <c r="B27" s="19"/>
      <c r="D27" s="115">
        <v>12</v>
      </c>
      <c r="E27" s="116"/>
      <c r="F27" s="115" t="str">
        <f>IF(A27="","",A27*D27)</f>
        <v/>
      </c>
      <c r="G27" s="116"/>
      <c r="H27" s="20" t="str">
        <f>IF(OR($B$54=1,$B$54=5),"",VLOOKUP($B$54,$A$56:$B$60,2))</f>
        <v/>
      </c>
      <c r="I27" s="15" t="str">
        <f>IF(I28="","",ROUNDUP(AVERAGE(I28,A29),0))</f>
        <v/>
      </c>
      <c r="J27" s="100" t="str">
        <f>IF(OR($F$39&lt;8,$F$39&gt;=10),"",D27)</f>
        <v/>
      </c>
      <c r="K27" s="100" t="str">
        <f>IF($F$39&lt;8,"",IF($F$39&gt;=10,"",F27))</f>
        <v/>
      </c>
      <c r="L27" s="100" t="str">
        <f t="shared" si="13"/>
        <v/>
      </c>
      <c r="M27" s="15" t="str">
        <f>IF(I27="",K27,IF(L27&gt;=K27,L27,K27))</f>
        <v/>
      </c>
      <c r="N27" s="6"/>
    </row>
    <row r="28" spans="1:14">
      <c r="A28" s="48"/>
      <c r="B28" s="19"/>
      <c r="D28" s="140" t="s">
        <v>81</v>
      </c>
      <c r="E28" s="116"/>
      <c r="F28" s="21"/>
      <c r="G28" s="20"/>
      <c r="H28" s="20" t="str">
        <f>IF(B54=2,"GEST FIN ECR",IF(B54=3,"MERCATIQUE EC",IF(B54=4,"RH COMM ECRIT","")))</f>
        <v/>
      </c>
      <c r="I28" s="48"/>
      <c r="J28" s="100" t="str">
        <f t="shared" ref="J28:J29" si="14">IF(OR($F$39&lt;8,$F$39&gt;=10),"",D28)</f>
        <v/>
      </c>
      <c r="K28" s="20"/>
      <c r="L28" s="20"/>
      <c r="M28" s="19"/>
      <c r="N28" s="6"/>
    </row>
    <row r="29" spans="1:14">
      <c r="A29" s="48"/>
      <c r="B29" s="19"/>
      <c r="D29" s="140" t="s">
        <v>81</v>
      </c>
      <c r="E29" s="116"/>
      <c r="F29" s="21"/>
      <c r="G29" s="20"/>
      <c r="H29" s="20" t="str">
        <f>IF(B54=2,"GEST FIN PRAT",IF(B54=3,"MERCATIQUE PR",IF(B54=4,"RH COMM PRAT","")))</f>
        <v/>
      </c>
      <c r="I29" s="20"/>
      <c r="J29" s="100" t="str">
        <f t="shared" si="14"/>
        <v/>
      </c>
      <c r="K29" s="20"/>
      <c r="L29" s="20"/>
      <c r="M29" s="19"/>
      <c r="N29" s="6"/>
    </row>
    <row r="30" spans="1:14">
      <c r="A30" s="48"/>
      <c r="B30" s="15"/>
      <c r="C30" s="100"/>
      <c r="D30" s="115"/>
      <c r="E30" s="116"/>
      <c r="F30" s="115" t="str">
        <f>IF(A30="","",IF(A30&lt;=10,"",IF(H54=8,(A30-10)*3,(A30-10)*2)))</f>
        <v/>
      </c>
      <c r="G30" s="116"/>
      <c r="H30" s="20" t="s">
        <v>27</v>
      </c>
      <c r="I30" s="100"/>
      <c r="J30" s="100"/>
      <c r="K30" s="100" t="str">
        <f>IF($F$39&lt;8,"",IF($F$39&gt;=10,"",F30))</f>
        <v/>
      </c>
      <c r="L30" s="100" t="str">
        <f>IF($F$39&lt;8,"",IF($F$39&gt;=10,"",IF(I30="","",I30*J30)))</f>
        <v/>
      </c>
      <c r="M30" s="15" t="str">
        <f>IF(I30="",K30,IF(L30&gt;=K30,L30,K30))</f>
        <v/>
      </c>
      <c r="N30" s="6"/>
    </row>
    <row r="31" spans="1:14">
      <c r="A31" s="23"/>
      <c r="B31" s="100"/>
      <c r="C31" s="15"/>
      <c r="D31" s="115"/>
      <c r="E31" s="116"/>
      <c r="F31" s="115"/>
      <c r="G31" s="116"/>
      <c r="H31" s="19" t="str">
        <f>IF(H54=1,"",INDEX(G56:H67,H54,2))</f>
        <v/>
      </c>
      <c r="I31" s="15"/>
      <c r="J31" s="100"/>
      <c r="K31" s="100"/>
      <c r="L31" s="15" t="str">
        <f>IF($F$39&lt;8,"",IF($F$39&gt;=10,"",IF(I31="","",I31*J31)))</f>
        <v/>
      </c>
      <c r="M31" s="15"/>
      <c r="N31" s="6"/>
    </row>
    <row r="32" spans="1:14">
      <c r="A32" s="48"/>
      <c r="B32" s="15"/>
      <c r="C32" s="15"/>
      <c r="D32" s="115"/>
      <c r="E32" s="116"/>
      <c r="F32" s="115" t="str">
        <f>IF(A32="","",IF((A32-10)&lt;=0,"",A32-10))</f>
        <v/>
      </c>
      <c r="G32" s="116"/>
      <c r="H32" s="19" t="s">
        <v>28</v>
      </c>
      <c r="I32" s="15"/>
      <c r="J32" s="18"/>
      <c r="K32" s="15" t="str">
        <f>IF($F$39&lt;8,"",IF($F$39&gt;=10,"",F32))</f>
        <v/>
      </c>
      <c r="L32" s="15" t="str">
        <f>IF($F$39&lt;8,"",IF($F$39&gt;=10,"",IF(I32="","",I32*J32)))</f>
        <v/>
      </c>
      <c r="M32" s="15" t="str">
        <f>IF(I32="",K32,IF(L32&gt;=K32,L32,K32))</f>
        <v/>
      </c>
      <c r="N32" s="6"/>
    </row>
    <row r="33" spans="1:14">
      <c r="A33" s="17"/>
      <c r="B33" s="15"/>
      <c r="C33" s="15"/>
      <c r="D33" s="115"/>
      <c r="E33" s="116"/>
      <c r="F33" s="115"/>
      <c r="G33" s="116"/>
      <c r="H33" s="19" t="str">
        <f>IF(J54=1,"",INDEX(I56:J67,J54,2))</f>
        <v/>
      </c>
      <c r="I33" s="15"/>
      <c r="J33" s="18"/>
      <c r="K33" s="15"/>
      <c r="L33" s="15" t="str">
        <f>IF($F$39&lt;8,"",IF($F$39&gt;=10,"",IF(I33="","",I33*J33)))</f>
        <v/>
      </c>
      <c r="M33" s="15"/>
      <c r="N33" s="6"/>
    </row>
    <row r="34" spans="1:14">
      <c r="A34" s="19"/>
      <c r="B34" s="15"/>
      <c r="C34" s="20"/>
      <c r="E34" s="20"/>
      <c r="G34" s="20"/>
      <c r="H34" s="20"/>
      <c r="I34" s="20"/>
      <c r="J34" s="20"/>
      <c r="K34" s="20"/>
      <c r="L34" s="20"/>
      <c r="M34" s="19"/>
      <c r="N34" s="6"/>
    </row>
    <row r="35" spans="1:14">
      <c r="A35" s="19"/>
      <c r="B35" s="15"/>
      <c r="C35" s="20"/>
      <c r="E35" s="20"/>
      <c r="G35" s="20"/>
      <c r="H35" s="20"/>
      <c r="I35" s="20"/>
      <c r="J35" s="20"/>
      <c r="K35" s="20"/>
      <c r="L35" s="20"/>
      <c r="M35" s="20"/>
      <c r="N35" s="6"/>
    </row>
    <row r="36" spans="1:14">
      <c r="A36" s="15" t="str">
        <f>IF(AND(B36="POUR INFO",H54=9),A30,IF(AND(B36="POUR INFO",H54=10),A30,IF(AND(B36="POUR INFO",J54=9),A32,IF(AND(B36="POUR INFO",J54=10),A32,""))))</f>
        <v/>
      </c>
      <c r="B36" s="15" t="str">
        <f>IF(F39&lt;8,"",IF(AND(F39&gt;=10,P60+Q60=1),"POUR INFO",IF(AND(M39&gt;=10,P60+Q60=1),"POUR INFO","")))</f>
        <v/>
      </c>
      <c r="C36" s="19"/>
      <c r="D36" s="115"/>
      <c r="E36" s="116"/>
      <c r="F36" s="115"/>
      <c r="G36" s="116"/>
      <c r="H36" s="22" t="str">
        <f>IF(B36="POUR INFO","EVALUAT. SPEC","")</f>
        <v/>
      </c>
      <c r="I36" s="15"/>
      <c r="J36" s="18"/>
      <c r="K36" s="15"/>
      <c r="L36" s="15" t="str">
        <f>IF($F$39&lt;8,"",IF($F$39&gt;=10,"",IF(I36="","",I36*J36)))</f>
        <v/>
      </c>
      <c r="M36" s="15"/>
    </row>
    <row r="37" spans="1:14">
      <c r="A37" s="23"/>
      <c r="B37" s="24"/>
      <c r="C37" s="24"/>
      <c r="D37" s="115"/>
      <c r="E37" s="116"/>
      <c r="F37" s="115"/>
      <c r="G37" s="116"/>
      <c r="H37" s="22" t="str">
        <f>IF(AND(B36="POUR INFO",H54=9),H64,IF(AND(B36="POUR INFO",H54=10),H65,IF(AND(B36="POUR INFO",J54=9),J64,IF(AND(B36="POUR INFO",J54=10),J65,""))))</f>
        <v/>
      </c>
      <c r="I37" s="15"/>
      <c r="J37" s="18"/>
      <c r="K37" s="15"/>
      <c r="L37" s="15" t="str">
        <f>IF($F$39&lt;8,"",IF($F$39&gt;=10,"",IF(I37="","",I37*J37)))</f>
        <v/>
      </c>
      <c r="M37" s="15"/>
    </row>
    <row r="38" spans="1:14" ht="15.75">
      <c r="A38" s="25"/>
      <c r="B38" s="26" t="s">
        <v>29</v>
      </c>
      <c r="C38" s="26"/>
      <c r="D38" s="117">
        <f>SUM(D13:E37)</f>
        <v>38</v>
      </c>
      <c r="E38" s="118"/>
      <c r="F38" s="117">
        <f>SUM(F13:F37)</f>
        <v>0</v>
      </c>
      <c r="G38" s="118"/>
      <c r="H38" s="16"/>
      <c r="I38" s="27" t="s">
        <v>29</v>
      </c>
      <c r="J38" s="28" t="str">
        <f>IF(OR($F$39&lt;8,$F$39&gt;=10),"",SUM(J13:J37))</f>
        <v/>
      </c>
      <c r="K38" s="29"/>
      <c r="L38" s="30" t="s">
        <v>29</v>
      </c>
      <c r="M38" s="31" t="str">
        <f>IF(OR($F$39&lt;8,$F$39&gt;=10),"",SUM(M13:M37))</f>
        <v/>
      </c>
    </row>
    <row r="39" spans="1:14" ht="21" customHeight="1">
      <c r="A39" s="32"/>
      <c r="B39" s="33"/>
      <c r="C39" s="33"/>
      <c r="D39" s="33"/>
      <c r="E39" s="34" t="s">
        <v>30</v>
      </c>
      <c r="F39" s="112">
        <f>F38/D38</f>
        <v>0</v>
      </c>
      <c r="G39" s="113"/>
      <c r="H39" s="24"/>
      <c r="I39" s="33"/>
      <c r="J39" s="35"/>
      <c r="K39" s="35"/>
      <c r="L39" s="34" t="s">
        <v>30</v>
      </c>
      <c r="M39" s="36" t="str">
        <f>IF(OR($F$39&lt;8,$F$39&gt;=10),"",M38/J38)</f>
        <v/>
      </c>
    </row>
    <row r="41" spans="1:14" ht="25.5" customHeight="1">
      <c r="A41" s="114" t="s">
        <v>31</v>
      </c>
      <c r="B41" s="37" t="s">
        <v>32</v>
      </c>
      <c r="C41" s="101">
        <f>IF($D$38=40,320,304)</f>
        <v>304</v>
      </c>
      <c r="D41" s="38">
        <f>IF($D$38=40,400,380)</f>
        <v>380</v>
      </c>
      <c r="E41" s="38">
        <f>IF($D$38=40,480,456)</f>
        <v>456</v>
      </c>
      <c r="F41" s="38">
        <f>IF($D$38=40,560,532)</f>
        <v>532</v>
      </c>
      <c r="G41" s="102">
        <f>IF($D$38=40,640,608)</f>
        <v>608</v>
      </c>
    </row>
    <row r="42" spans="1:14" ht="25.5" customHeight="1">
      <c r="A42" s="114"/>
      <c r="B42" s="37" t="s">
        <v>33</v>
      </c>
      <c r="C42" s="101">
        <f>C41</f>
        <v>304</v>
      </c>
      <c r="D42" s="38">
        <f>D41</f>
        <v>380</v>
      </c>
      <c r="E42" s="38"/>
      <c r="F42" s="38"/>
      <c r="G42" s="102"/>
    </row>
    <row r="43" spans="1:14" ht="25.5" customHeight="1">
      <c r="A43" s="114"/>
      <c r="B43" s="39" t="s">
        <v>34</v>
      </c>
      <c r="C43" s="40" t="s">
        <v>35</v>
      </c>
      <c r="D43" s="41" t="s">
        <v>36</v>
      </c>
      <c r="E43" s="41" t="s">
        <v>37</v>
      </c>
      <c r="F43" s="41" t="s">
        <v>38</v>
      </c>
      <c r="G43" s="42" t="s">
        <v>39</v>
      </c>
    </row>
    <row r="45" spans="1:14" ht="15" customHeight="1">
      <c r="A45" s="119" t="s">
        <v>40</v>
      </c>
      <c r="B45" s="25"/>
      <c r="C45" s="120" t="str">
        <f>IF(F38=0,"",IF(F39&lt;8,"REFUSE",IF(F39&lt;10,"PASSE SECOND GROUPE",IF(F39&lt;12,"ADMIS",IF(F39&lt;14,"ADMIS MENTION ASSEZ BIEN",IF(F39&lt;16,"ADMIS MENTION BIEN","ADMIS MENTION TRES BIEN"))))))</f>
        <v/>
      </c>
      <c r="D45" s="121"/>
      <c r="E45" s="121"/>
      <c r="F45" s="121"/>
      <c r="G45" s="121"/>
      <c r="H45" s="121"/>
      <c r="I45" s="126" t="str">
        <f>IF(F39&lt;10,"",IF(B36="POUR INFO","SECTION EUROPEENNE",""))</f>
        <v/>
      </c>
      <c r="J45" s="126"/>
      <c r="K45" s="126"/>
      <c r="L45" s="127"/>
    </row>
    <row r="46" spans="1:14" ht="15" customHeight="1">
      <c r="A46" s="119"/>
      <c r="B46" s="21" t="s">
        <v>41</v>
      </c>
      <c r="C46" s="122"/>
      <c r="D46" s="123"/>
      <c r="E46" s="123"/>
      <c r="F46" s="123"/>
      <c r="G46" s="123"/>
      <c r="H46" s="123"/>
      <c r="I46" s="128"/>
      <c r="J46" s="128"/>
      <c r="K46" s="128"/>
      <c r="L46" s="129"/>
    </row>
    <row r="47" spans="1:14" ht="15" customHeight="1">
      <c r="A47" s="119"/>
      <c r="B47" s="32"/>
      <c r="C47" s="124"/>
      <c r="D47" s="125"/>
      <c r="E47" s="125"/>
      <c r="F47" s="125"/>
      <c r="G47" s="125"/>
      <c r="H47" s="125"/>
      <c r="I47" s="130"/>
      <c r="J47" s="130"/>
      <c r="K47" s="130"/>
      <c r="L47" s="131"/>
    </row>
    <row r="48" spans="1:14" ht="12.75" customHeight="1">
      <c r="A48" s="119"/>
      <c r="B48" s="132" t="str">
        <f>IF(C45="PASSE SECOND GROUPE","2è GROUPE : ","")</f>
        <v/>
      </c>
      <c r="C48" s="134" t="str">
        <f>IF(OR(F39&gt;=10,F39&lt;8),"",IF(M39&gt;=10,"ADMIS","REFUSE AVEC CFETS"))</f>
        <v/>
      </c>
      <c r="D48" s="135"/>
      <c r="E48" s="135"/>
      <c r="F48" s="135"/>
      <c r="G48" s="135"/>
      <c r="H48" s="138" t="str">
        <f>IF(AND(H54=9,C48="ADMIS",B36="POUR INFO"),"SECTION EUROPEENNE",IF(AND(H54=10,C48="ADMIS",B36="POUR INFO"),"SECTION EUROPEENNE",IF(AND(J54=9,C48="ADMIS",B36="POUR INFO"),"SECTION EUROPEENNE",IF(AND(J54=10,C48="ADMIS",B36="POUR INFO"),"SECTION EUROPEENNE",""))))</f>
        <v/>
      </c>
      <c r="I48" s="138"/>
      <c r="J48" s="138"/>
      <c r="K48" s="138"/>
      <c r="L48" s="43"/>
    </row>
    <row r="49" spans="1:17" ht="12.75" customHeight="1">
      <c r="A49" s="119"/>
      <c r="B49" s="133"/>
      <c r="C49" s="136"/>
      <c r="D49" s="137"/>
      <c r="E49" s="137"/>
      <c r="F49" s="137"/>
      <c r="G49" s="137"/>
      <c r="H49" s="139"/>
      <c r="I49" s="139"/>
      <c r="J49" s="139"/>
      <c r="K49" s="139"/>
      <c r="L49" s="44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47" t="s">
        <v>42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idden="1">
      <c r="A54" s="47" t="s">
        <v>43</v>
      </c>
      <c r="B54" s="97">
        <v>1</v>
      </c>
      <c r="C54" s="47"/>
      <c r="D54" s="97">
        <v>1</v>
      </c>
      <c r="E54" s="47"/>
      <c r="F54" s="97">
        <v>1</v>
      </c>
      <c r="G54" s="47"/>
      <c r="H54" s="97">
        <v>1</v>
      </c>
      <c r="I54" s="47"/>
      <c r="J54" s="97">
        <v>1</v>
      </c>
      <c r="K54" s="47"/>
      <c r="L54" s="97">
        <v>2</v>
      </c>
      <c r="M54" s="47"/>
      <c r="N54" s="47">
        <v>2</v>
      </c>
      <c r="O54" s="47"/>
      <c r="P54" s="47"/>
      <c r="Q54" s="47"/>
    </row>
    <row r="55" spans="1:17">
      <c r="A55" s="47"/>
      <c r="B55" s="47" t="s">
        <v>44</v>
      </c>
      <c r="C55" s="47"/>
      <c r="D55" s="47" t="s">
        <v>45</v>
      </c>
      <c r="E55" s="47"/>
      <c r="F55" s="47" t="s">
        <v>46</v>
      </c>
      <c r="G55" s="47"/>
      <c r="H55" s="47" t="s">
        <v>47</v>
      </c>
      <c r="I55" s="47"/>
      <c r="J55" s="47" t="s">
        <v>48</v>
      </c>
      <c r="K55" s="47"/>
      <c r="L55" s="47" t="s">
        <v>49</v>
      </c>
      <c r="M55" s="47"/>
      <c r="N55" s="47" t="s">
        <v>71</v>
      </c>
      <c r="O55" s="47"/>
      <c r="P55" s="98" t="s">
        <v>50</v>
      </c>
      <c r="Q55" s="98" t="s">
        <v>56</v>
      </c>
    </row>
    <row r="56" spans="1:17">
      <c r="A56" s="47">
        <v>1</v>
      </c>
      <c r="B56" s="47"/>
      <c r="C56" s="47">
        <v>1</v>
      </c>
      <c r="D56" s="47"/>
      <c r="E56" s="47">
        <v>1</v>
      </c>
      <c r="F56" s="47"/>
      <c r="G56" s="47">
        <v>1</v>
      </c>
      <c r="H56" s="47"/>
      <c r="I56" s="47">
        <v>1</v>
      </c>
      <c r="J56" s="47"/>
      <c r="K56" s="47">
        <v>1</v>
      </c>
      <c r="L56" s="47"/>
      <c r="M56" s="47">
        <v>1</v>
      </c>
      <c r="N56" s="47"/>
      <c r="O56" s="99" t="s">
        <v>66</v>
      </c>
      <c r="P56" s="98">
        <f>IF(AND(D54=2,H54=9,A19&gt;=12,A30&gt;=10),1,0)</f>
        <v>0</v>
      </c>
      <c r="Q56" s="98">
        <f>IF(AND(D54=4,H54=10,A19&gt;=12,A30&gt;=10),1,0)</f>
        <v>0</v>
      </c>
    </row>
    <row r="57" spans="1:17">
      <c r="A57" s="47">
        <v>2</v>
      </c>
      <c r="B57" s="47" t="s">
        <v>74</v>
      </c>
      <c r="C57" s="47">
        <v>2</v>
      </c>
      <c r="D57" s="47" t="s">
        <v>50</v>
      </c>
      <c r="E57" s="47">
        <v>2</v>
      </c>
      <c r="F57" s="47" t="s">
        <v>50</v>
      </c>
      <c r="G57" s="47">
        <v>2</v>
      </c>
      <c r="H57" s="47" t="s">
        <v>51</v>
      </c>
      <c r="I57" s="47">
        <v>2</v>
      </c>
      <c r="J57" s="47" t="s">
        <v>51</v>
      </c>
      <c r="K57" s="47">
        <v>2</v>
      </c>
      <c r="L57" s="47" t="s">
        <v>52</v>
      </c>
      <c r="M57" s="47">
        <v>2</v>
      </c>
      <c r="N57" s="47" t="s">
        <v>50</v>
      </c>
      <c r="O57" s="99" t="s">
        <v>67</v>
      </c>
      <c r="P57" s="98">
        <f>IF(AND(D54=2,J54=9,A19&gt;=12,A32&gt;=10),1,0)</f>
        <v>0</v>
      </c>
      <c r="Q57" s="98">
        <f>IF(AND(D54=4,J54=10,A19&gt;=12,A32&gt;=10),1,0)</f>
        <v>0</v>
      </c>
    </row>
    <row r="58" spans="1:17">
      <c r="A58" s="47">
        <v>3</v>
      </c>
      <c r="B58" s="47" t="s">
        <v>75</v>
      </c>
      <c r="C58" s="47">
        <v>3</v>
      </c>
      <c r="D58" s="47" t="s">
        <v>53</v>
      </c>
      <c r="E58" s="47">
        <v>3</v>
      </c>
      <c r="F58" s="47" t="s">
        <v>53</v>
      </c>
      <c r="G58" s="47">
        <v>3</v>
      </c>
      <c r="H58" s="47" t="s">
        <v>82</v>
      </c>
      <c r="I58" s="47">
        <v>3</v>
      </c>
      <c r="J58" s="47" t="s">
        <v>54</v>
      </c>
      <c r="K58" s="47">
        <v>3</v>
      </c>
      <c r="L58" s="47" t="s">
        <v>55</v>
      </c>
      <c r="M58" s="47">
        <v>3</v>
      </c>
      <c r="N58" s="47" t="s">
        <v>53</v>
      </c>
      <c r="O58" s="99" t="s">
        <v>68</v>
      </c>
      <c r="P58" s="98">
        <f>IF(AND(F54=2,H54=9,A21&gt;=12,A30&gt;=10),1,0)</f>
        <v>0</v>
      </c>
      <c r="Q58" s="98">
        <f>IF(AND(F54=4,H54=10,A21&gt;=12,A30&gt;=10),1,0)</f>
        <v>0</v>
      </c>
    </row>
    <row r="59" spans="1:17">
      <c r="A59" s="47">
        <v>4</v>
      </c>
      <c r="B59" s="47" t="s">
        <v>76</v>
      </c>
      <c r="C59" s="47">
        <v>4</v>
      </c>
      <c r="D59" s="47" t="s">
        <v>56</v>
      </c>
      <c r="E59" s="47">
        <v>4</v>
      </c>
      <c r="F59" s="47" t="s">
        <v>56</v>
      </c>
      <c r="G59" s="47">
        <v>4</v>
      </c>
      <c r="H59" s="47" t="s">
        <v>54</v>
      </c>
      <c r="I59" s="47">
        <v>4</v>
      </c>
      <c r="J59" s="47" t="s">
        <v>57</v>
      </c>
      <c r="K59" s="47"/>
      <c r="L59" s="47"/>
      <c r="M59" s="47">
        <v>4</v>
      </c>
      <c r="N59" s="47" t="s">
        <v>56</v>
      </c>
      <c r="O59" s="99" t="s">
        <v>69</v>
      </c>
      <c r="P59" s="98">
        <f>IF(AND(F54=2,J54=9,A21&gt;=12,A32&gt;=10),1,0)</f>
        <v>0</v>
      </c>
      <c r="Q59" s="98">
        <f>IF(AND(F54=4,J54=10,A21&gt;=12,A32&gt;=10),1,0)</f>
        <v>0</v>
      </c>
    </row>
    <row r="60" spans="1:17">
      <c r="A60" s="47">
        <v>5</v>
      </c>
      <c r="B60" s="47"/>
      <c r="C60" s="47"/>
      <c r="D60" s="47"/>
      <c r="E60" s="47"/>
      <c r="F60" s="47"/>
      <c r="G60" s="47">
        <v>5</v>
      </c>
      <c r="H60" s="47" t="s">
        <v>57</v>
      </c>
      <c r="I60" s="47">
        <v>5</v>
      </c>
      <c r="J60" s="47" t="s">
        <v>58</v>
      </c>
      <c r="K60" s="47"/>
      <c r="L60" s="47"/>
      <c r="M60" s="47"/>
      <c r="N60" s="47"/>
      <c r="O60" s="99" t="s">
        <v>70</v>
      </c>
      <c r="P60" s="98">
        <f>SUM(P56:P59)</f>
        <v>0</v>
      </c>
      <c r="Q60" s="98">
        <f>SUM(Q56:Q59)</f>
        <v>0</v>
      </c>
    </row>
    <row r="61" spans="1:17">
      <c r="A61" s="47"/>
      <c r="B61" s="47"/>
      <c r="C61" s="47"/>
      <c r="D61" s="47"/>
      <c r="E61" s="47"/>
      <c r="F61" s="47"/>
      <c r="G61" s="47">
        <v>6</v>
      </c>
      <c r="H61" s="47" t="s">
        <v>58</v>
      </c>
      <c r="I61" s="47">
        <v>6</v>
      </c>
      <c r="J61" s="47" t="s">
        <v>49</v>
      </c>
      <c r="K61" s="47"/>
      <c r="L61" s="47"/>
      <c r="M61" s="47"/>
      <c r="N61" s="47"/>
      <c r="O61" s="99"/>
      <c r="P61" s="98"/>
      <c r="Q61" s="98"/>
    </row>
    <row r="62" spans="1:17">
      <c r="A62" s="47"/>
      <c r="B62" s="47"/>
      <c r="C62" s="47"/>
      <c r="D62" s="47"/>
      <c r="E62" s="47"/>
      <c r="F62" s="47"/>
      <c r="G62" s="47">
        <v>7</v>
      </c>
      <c r="H62" s="47" t="s">
        <v>49</v>
      </c>
      <c r="I62" s="47">
        <v>7</v>
      </c>
      <c r="J62" s="47" t="s">
        <v>72</v>
      </c>
      <c r="K62" s="47"/>
      <c r="L62" s="47"/>
      <c r="M62" s="47"/>
      <c r="N62" s="47"/>
      <c r="O62" s="47"/>
      <c r="P62" s="47"/>
      <c r="Q62" s="47"/>
    </row>
    <row r="63" spans="1:17">
      <c r="A63" s="47"/>
      <c r="B63" s="47"/>
      <c r="C63" s="47"/>
      <c r="D63" s="47"/>
      <c r="E63" s="47"/>
      <c r="F63" s="47"/>
      <c r="G63" s="47">
        <v>8</v>
      </c>
      <c r="H63" s="47" t="s">
        <v>59</v>
      </c>
      <c r="I63" s="47">
        <v>8</v>
      </c>
      <c r="J63" s="47" t="s">
        <v>59</v>
      </c>
      <c r="K63" s="47"/>
      <c r="L63" s="47"/>
      <c r="M63" s="47"/>
      <c r="N63" s="47"/>
      <c r="O63" s="47"/>
      <c r="P63" s="47"/>
      <c r="Q63" s="47"/>
    </row>
    <row r="64" spans="1:17">
      <c r="A64" s="47"/>
      <c r="B64" s="47"/>
      <c r="C64" s="47"/>
      <c r="D64" s="47"/>
      <c r="E64" s="47"/>
      <c r="F64" s="47"/>
      <c r="G64" s="47">
        <v>9</v>
      </c>
      <c r="H64" s="47" t="s">
        <v>60</v>
      </c>
      <c r="I64" s="47">
        <v>9</v>
      </c>
      <c r="J64" s="47" t="s">
        <v>60</v>
      </c>
      <c r="K64" s="47"/>
      <c r="L64" s="47"/>
      <c r="M64" s="47"/>
      <c r="N64" s="47"/>
      <c r="O64" s="47"/>
      <c r="P64" s="47"/>
      <c r="Q64" s="47"/>
    </row>
    <row r="65" spans="1:17">
      <c r="A65" s="47"/>
      <c r="B65" s="47"/>
      <c r="C65" s="47"/>
      <c r="D65" s="47"/>
      <c r="E65" s="47"/>
      <c r="F65" s="47"/>
      <c r="G65" s="47">
        <v>10</v>
      </c>
      <c r="H65" s="47" t="s">
        <v>61</v>
      </c>
      <c r="I65" s="47">
        <v>10</v>
      </c>
      <c r="J65" s="47" t="s">
        <v>61</v>
      </c>
      <c r="K65" s="47"/>
      <c r="L65" s="47"/>
      <c r="M65" s="47"/>
      <c r="N65" s="47"/>
      <c r="O65" s="47"/>
      <c r="P65" s="47"/>
      <c r="Q65" s="47"/>
    </row>
    <row r="66" spans="1:17">
      <c r="A66" s="47"/>
      <c r="B66" s="47"/>
      <c r="C66" s="47"/>
      <c r="D66" s="47"/>
      <c r="E66" s="47"/>
      <c r="F66" s="47"/>
      <c r="G66" s="47">
        <v>11</v>
      </c>
      <c r="H66" s="47" t="s">
        <v>62</v>
      </c>
      <c r="I66" s="47">
        <v>11</v>
      </c>
      <c r="J66" s="47" t="s">
        <v>62</v>
      </c>
      <c r="K66" s="47"/>
      <c r="L66" s="47"/>
      <c r="M66" s="47"/>
      <c r="N66" s="47"/>
      <c r="O66" s="47"/>
      <c r="P66" s="47"/>
      <c r="Q66" s="47"/>
    </row>
    <row r="67" spans="1:17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7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7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</sheetData>
  <sheetProtection password="CE9B" sheet="1" objects="1" scenarios="1" selectLockedCells="1"/>
  <mergeCells count="62">
    <mergeCell ref="I11:J11"/>
    <mergeCell ref="K11:M11"/>
    <mergeCell ref="D12:E12"/>
    <mergeCell ref="F12:G12"/>
    <mergeCell ref="D19:E19"/>
    <mergeCell ref="D13:E13"/>
    <mergeCell ref="F13:G13"/>
    <mergeCell ref="D14:E14"/>
    <mergeCell ref="F14:G14"/>
    <mergeCell ref="D18:E18"/>
    <mergeCell ref="F18:G18"/>
    <mergeCell ref="H11:H12"/>
    <mergeCell ref="D23:E23"/>
    <mergeCell ref="F23:G23"/>
    <mergeCell ref="D25:E25"/>
    <mergeCell ref="F25:G25"/>
    <mergeCell ref="B5:E5"/>
    <mergeCell ref="B6:E6"/>
    <mergeCell ref="A11:G11"/>
    <mergeCell ref="D21:E21"/>
    <mergeCell ref="F21:G21"/>
    <mergeCell ref="D22:E22"/>
    <mergeCell ref="F22:G22"/>
    <mergeCell ref="D24:E24"/>
    <mergeCell ref="F24:G24"/>
    <mergeCell ref="F19:G19"/>
    <mergeCell ref="F26:G26"/>
    <mergeCell ref="D26:E26"/>
    <mergeCell ref="D15:E15"/>
    <mergeCell ref="F15:G15"/>
    <mergeCell ref="D30:E30"/>
    <mergeCell ref="F30:G30"/>
    <mergeCell ref="D17:E17"/>
    <mergeCell ref="F17:G17"/>
    <mergeCell ref="D27:E27"/>
    <mergeCell ref="D28:E28"/>
    <mergeCell ref="D29:E29"/>
    <mergeCell ref="F27:G27"/>
    <mergeCell ref="D16:E16"/>
    <mergeCell ref="F16:G16"/>
    <mergeCell ref="D20:E20"/>
    <mergeCell ref="F20:G20"/>
    <mergeCell ref="D31:E31"/>
    <mergeCell ref="F31:G31"/>
    <mergeCell ref="D32:E32"/>
    <mergeCell ref="F32:G32"/>
    <mergeCell ref="D33:E33"/>
    <mergeCell ref="F33:G33"/>
    <mergeCell ref="A45:A49"/>
    <mergeCell ref="C45:H47"/>
    <mergeCell ref="I45:L47"/>
    <mergeCell ref="B48:B49"/>
    <mergeCell ref="C48:G49"/>
    <mergeCell ref="H48:K49"/>
    <mergeCell ref="F39:G39"/>
    <mergeCell ref="A41:A43"/>
    <mergeCell ref="D36:E36"/>
    <mergeCell ref="F36:G36"/>
    <mergeCell ref="D37:E37"/>
    <mergeCell ref="F37:G37"/>
    <mergeCell ref="D38:E38"/>
    <mergeCell ref="F38:G38"/>
  </mergeCells>
  <dataValidations count="1">
    <dataValidation type="whole" allowBlank="1" showInputMessage="1" showErrorMessage="1" error="Une note est comprise entre 0 et 20" sqref="A32 I21 A23:A26 A18:A19 A28:A30 I18:I19 A13:A16 A21 I23:I26 I28">
      <formula1>0</formula1>
      <formula2>20</formula2>
    </dataValidation>
  </dataValidations>
  <pageMargins left="0.2" right="0.2" top="0.75" bottom="0.6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72"/>
  <sheetViews>
    <sheetView showGridLines="0" workbookViewId="0"/>
  </sheetViews>
  <sheetFormatPr baseColWidth="10" defaultRowHeight="12.75"/>
  <cols>
    <col min="1" max="1" width="7" style="51" customWidth="1"/>
    <col min="2" max="2" width="12" style="51" bestFit="1" customWidth="1"/>
    <col min="3" max="3" width="6" style="51" customWidth="1"/>
    <col min="4" max="5" width="5.7109375" style="51" bestFit="1" customWidth="1"/>
    <col min="6" max="6" width="4.7109375" style="51" customWidth="1"/>
    <col min="7" max="7" width="4.85546875" style="51" customWidth="1"/>
    <col min="8" max="8" width="22.140625" style="51" customWidth="1"/>
    <col min="9" max="9" width="8.140625" style="51" bestFit="1" customWidth="1"/>
    <col min="10" max="10" width="6.28515625" style="51" bestFit="1" customWidth="1"/>
    <col min="11" max="11" width="10.42578125" style="51" bestFit="1" customWidth="1"/>
    <col min="12" max="12" width="9.7109375" style="51" bestFit="1" customWidth="1"/>
    <col min="13" max="13" width="9" style="51" customWidth="1"/>
    <col min="14" max="16384" width="11.42578125" style="51"/>
  </cols>
  <sheetData>
    <row r="1" spans="1:13" ht="15.75">
      <c r="A1" s="51" t="s">
        <v>0</v>
      </c>
      <c r="F1" s="95">
        <f ca="1">NOW()</f>
        <v>42060.801733796296</v>
      </c>
      <c r="H1" s="52" t="s">
        <v>1</v>
      </c>
      <c r="I1" s="53" t="s">
        <v>2</v>
      </c>
      <c r="J1" s="52">
        <f ca="1">YEAR(F1)</f>
        <v>2015</v>
      </c>
      <c r="K1" s="54" t="s">
        <v>3</v>
      </c>
      <c r="L1" s="55" t="s">
        <v>77</v>
      </c>
    </row>
    <row r="2" spans="1:13">
      <c r="H2" s="51" t="s">
        <v>4</v>
      </c>
      <c r="I2" s="108">
        <f>Notes_STMG!I2</f>
        <v>0</v>
      </c>
    </row>
    <row r="3" spans="1:13" ht="15.75">
      <c r="A3" s="56" t="s">
        <v>83</v>
      </c>
      <c r="I3" s="57"/>
    </row>
    <row r="4" spans="1:13" ht="21">
      <c r="F4" s="58" t="s">
        <v>73</v>
      </c>
    </row>
    <row r="5" spans="1:13">
      <c r="A5" s="51" t="s">
        <v>63</v>
      </c>
      <c r="B5" s="161" t="str">
        <f>IF(Notes_STMG!B5="","",Notes_STMG!B5)</f>
        <v/>
      </c>
      <c r="C5" s="162"/>
      <c r="D5" s="162"/>
      <c r="E5" s="163"/>
      <c r="F5" s="59"/>
    </row>
    <row r="6" spans="1:13">
      <c r="A6" s="51" t="s">
        <v>7</v>
      </c>
      <c r="B6" s="161" t="str">
        <f>IF(Notes_STMG!B6="","",Notes_STMG!B6)</f>
        <v/>
      </c>
      <c r="C6" s="162"/>
      <c r="D6" s="162"/>
      <c r="E6" s="163"/>
      <c r="F6" s="59"/>
    </row>
    <row r="8" spans="1:13">
      <c r="A8" s="51" t="s">
        <v>8</v>
      </c>
      <c r="C8" s="51" t="s">
        <v>9</v>
      </c>
    </row>
    <row r="9" spans="1:13">
      <c r="C9" s="51" t="s">
        <v>10</v>
      </c>
      <c r="J9" s="60"/>
    </row>
    <row r="11" spans="1:13" ht="12.75" customHeight="1">
      <c r="A11" s="164" t="s">
        <v>11</v>
      </c>
      <c r="B11" s="164"/>
      <c r="C11" s="164"/>
      <c r="D11" s="164"/>
      <c r="E11" s="164"/>
      <c r="F11" s="164"/>
      <c r="G11" s="164"/>
      <c r="H11" s="165" t="s">
        <v>12</v>
      </c>
      <c r="I11" s="167" t="s">
        <v>13</v>
      </c>
      <c r="J11" s="168"/>
      <c r="K11" s="156" t="s">
        <v>14</v>
      </c>
      <c r="L11" s="157"/>
      <c r="M11" s="158"/>
    </row>
    <row r="12" spans="1:13" ht="25.5">
      <c r="A12" s="61" t="s">
        <v>15</v>
      </c>
      <c r="B12" s="61" t="s">
        <v>16</v>
      </c>
      <c r="C12" s="61"/>
      <c r="D12" s="159" t="s">
        <v>17</v>
      </c>
      <c r="E12" s="160"/>
      <c r="F12" s="159" t="s">
        <v>18</v>
      </c>
      <c r="G12" s="160"/>
      <c r="H12" s="166"/>
      <c r="I12" s="62" t="s">
        <v>15</v>
      </c>
      <c r="J12" s="63" t="s">
        <v>17</v>
      </c>
      <c r="K12" s="62" t="s">
        <v>19</v>
      </c>
      <c r="L12" s="62" t="s">
        <v>20</v>
      </c>
      <c r="M12" s="62" t="s">
        <v>21</v>
      </c>
    </row>
    <row r="13" spans="1:13">
      <c r="A13" s="64" t="str">
        <f>IF(Notes_STMG!A13="","",Notes_STMG!A13)</f>
        <v/>
      </c>
      <c r="B13" s="64">
        <f ca="1">$J$1-1</f>
        <v>2014</v>
      </c>
      <c r="C13" s="64"/>
      <c r="D13" s="169">
        <v>2</v>
      </c>
      <c r="E13" s="170"/>
      <c r="F13" s="169" t="str">
        <f>IF(A13="","",A13*D13)</f>
        <v/>
      </c>
      <c r="G13" s="170"/>
      <c r="H13" s="65" t="s">
        <v>64</v>
      </c>
      <c r="I13" s="107"/>
      <c r="J13" s="66" t="str">
        <f t="shared" ref="J13:J14" si="0">IF(OR($F$39&lt;8,$F$39&gt;=10),"",D13)</f>
        <v/>
      </c>
      <c r="K13" s="64" t="str">
        <f t="shared" ref="K13:K15" si="1">IF($F$39&lt;8,"",IF($F$39&gt;=10,"",F13))</f>
        <v/>
      </c>
      <c r="L13" s="64" t="str">
        <f t="shared" ref="L13:L15" si="2">IF($F$39&lt;8,"",IF($F$39&gt;=10,"",IF(I13="","",I13*J13)))</f>
        <v/>
      </c>
      <c r="M13" s="64" t="str">
        <f t="shared" ref="M13:M15" si="3">IF(I13="",K13,IF(L13&gt;=K13,L13,K13))</f>
        <v/>
      </c>
    </row>
    <row r="14" spans="1:13" ht="12.75" customHeight="1">
      <c r="A14" s="64" t="str">
        <f>IF(Notes_STMG!A14="","",Notes_STMG!A14)</f>
        <v/>
      </c>
      <c r="B14" s="64">
        <f ca="1">$J$1-1</f>
        <v>2014</v>
      </c>
      <c r="C14" s="64"/>
      <c r="D14" s="171">
        <v>2</v>
      </c>
      <c r="E14" s="172"/>
      <c r="F14" s="171" t="str">
        <f t="shared" ref="F14" si="4">IF(A14="","",A14*D14)</f>
        <v/>
      </c>
      <c r="G14" s="172"/>
      <c r="H14" s="67" t="s">
        <v>65</v>
      </c>
      <c r="I14" s="64"/>
      <c r="J14" s="66" t="str">
        <f t="shared" si="0"/>
        <v/>
      </c>
      <c r="K14" s="64" t="str">
        <f t="shared" si="1"/>
        <v/>
      </c>
      <c r="L14" s="64" t="str">
        <f t="shared" si="2"/>
        <v/>
      </c>
      <c r="M14" s="64" t="str">
        <f t="shared" si="3"/>
        <v/>
      </c>
    </row>
    <row r="15" spans="1:13" ht="12.75" customHeight="1">
      <c r="A15" s="64" t="str">
        <f>IF(Notes_STMG!A15="","",Notes_STMG!A15)</f>
        <v/>
      </c>
      <c r="B15" s="64">
        <f ca="1">$J$1-1</f>
        <v>2014</v>
      </c>
      <c r="C15" s="64"/>
      <c r="D15" s="171"/>
      <c r="E15" s="172"/>
      <c r="F15" s="171" t="str">
        <f>IF(A15="","",IF(A15&lt;=10,"",(A15-10)*2))</f>
        <v/>
      </c>
      <c r="G15" s="172"/>
      <c r="H15" s="51" t="s">
        <v>78</v>
      </c>
      <c r="I15" s="64"/>
      <c r="J15" s="66"/>
      <c r="K15" s="64" t="str">
        <f t="shared" si="1"/>
        <v/>
      </c>
      <c r="L15" s="64" t="str">
        <f t="shared" si="2"/>
        <v/>
      </c>
      <c r="M15" s="64" t="str">
        <f t="shared" si="3"/>
        <v/>
      </c>
    </row>
    <row r="16" spans="1:13" ht="12.75" customHeight="1">
      <c r="A16" s="64" t="str">
        <f>IF(Notes_STMG!A16="","",Notes_STMG!A16)</f>
        <v/>
      </c>
      <c r="B16" s="64"/>
      <c r="C16" s="64"/>
      <c r="D16" s="171" t="str">
        <f>IF(A16="","",2)</f>
        <v/>
      </c>
      <c r="E16" s="172"/>
      <c r="F16" s="171" t="str">
        <f>IF(A16="","",A16*D16)</f>
        <v/>
      </c>
      <c r="G16" s="172"/>
      <c r="H16" s="67" t="s">
        <v>26</v>
      </c>
      <c r="I16" s="64"/>
      <c r="J16" s="66" t="str">
        <f>IF(OR($F$39&lt;8,$F$39&gt;=10),"",D16)</f>
        <v/>
      </c>
      <c r="K16" s="64" t="str">
        <f>IF($F$39&lt;8,"",IF($F$39&gt;=10,"",F16))</f>
        <v/>
      </c>
      <c r="L16" s="64" t="str">
        <f>IF($F$39&lt;8,"",IF($F$39&gt;=10,"",IF(I16="","",I16*J16)))</f>
        <v/>
      </c>
      <c r="M16" s="64" t="str">
        <f>IF(I16="",K16,IF(L16&gt;=K16,L16,K16))</f>
        <v/>
      </c>
    </row>
    <row r="17" spans="1:14" ht="12.75" customHeight="1">
      <c r="A17" s="64" t="str">
        <f>IF(Notes_STMG!A17="","",Notes_STMG!A17)</f>
        <v/>
      </c>
      <c r="B17" s="64"/>
      <c r="C17" s="64"/>
      <c r="D17" s="171"/>
      <c r="E17" s="172"/>
      <c r="F17" s="171"/>
      <c r="G17" s="172"/>
      <c r="H17" s="67" t="str">
        <f>Notes_STMG!H17</f>
        <v>EPS APTE</v>
      </c>
      <c r="I17" s="64"/>
      <c r="J17" s="66"/>
      <c r="K17" s="64"/>
      <c r="L17" s="64" t="str">
        <f>IF($F$39&lt;8,"",IF($F$39&gt;=10,"",IF(I17="","",I17*J17)))</f>
        <v/>
      </c>
      <c r="M17" s="64"/>
    </row>
    <row r="18" spans="1:14" ht="12.75" customHeight="1">
      <c r="A18" s="64" t="str">
        <f>IF(Notes_STMG!A18="","",Notes_STMG!A18)</f>
        <v/>
      </c>
      <c r="B18" s="64"/>
      <c r="C18" s="64"/>
      <c r="D18" s="171">
        <v>2</v>
      </c>
      <c r="E18" s="172"/>
      <c r="F18" s="171" t="str">
        <f>IF(A18="","",A18*D18)</f>
        <v/>
      </c>
      <c r="G18" s="172"/>
      <c r="H18" s="67" t="s">
        <v>22</v>
      </c>
      <c r="I18" s="64" t="str">
        <f>IF(OR($F$39&lt;8,$F$39&gt;=10),"",IF(Notes_STMG!I18="","",Notes_STMG!I18))</f>
        <v/>
      </c>
      <c r="J18" s="66" t="str">
        <f>IF(OR($F$39&lt;8,$F$39&gt;=10),"",D18)</f>
        <v/>
      </c>
      <c r="K18" s="64" t="str">
        <f>IF($F$39&lt;8,"",IF($F$39&gt;=10,"",F18))</f>
        <v/>
      </c>
      <c r="L18" s="64" t="str">
        <f>IF($F$39&lt;8,"",IF($F$39&gt;=10,"",IF(I18="","",I18*J18)))</f>
        <v/>
      </c>
      <c r="M18" s="64" t="str">
        <f>IF(I18="",K18,IF(L18&gt;=K18,L18,K18))</f>
        <v/>
      </c>
    </row>
    <row r="19" spans="1:14" ht="12.75" customHeight="1">
      <c r="A19" s="64" t="str">
        <f>IF(Notes_STMG!A19="","",Notes_STMG!A19)</f>
        <v/>
      </c>
      <c r="B19" s="68"/>
      <c r="C19" s="68"/>
      <c r="D19" s="171">
        <v>3</v>
      </c>
      <c r="E19" s="172"/>
      <c r="F19" s="171" t="str">
        <f t="shared" ref="F19" si="5">IF(A19="","",A19*D19)</f>
        <v/>
      </c>
      <c r="G19" s="172"/>
      <c r="H19" s="68" t="s">
        <v>23</v>
      </c>
      <c r="I19" s="64" t="str">
        <f>IF(OR($F$39&lt;8,$F$39&gt;=10),"",IF(Notes_STMG!I19="","",Notes_STMG!I19))</f>
        <v/>
      </c>
      <c r="J19" s="66" t="str">
        <f t="shared" ref="J19" si="6">IF(OR($F$39&lt;8,$F$39&gt;=10),"",D19)</f>
        <v/>
      </c>
      <c r="K19" s="64" t="str">
        <f t="shared" ref="K19" si="7">IF($F$39&lt;8,"",IF($F$39&gt;=10,"",F19))</f>
        <v/>
      </c>
      <c r="L19" s="64" t="str">
        <f t="shared" ref="L19" si="8">IF($F$39&lt;8,"",IF($F$39&gt;=10,"",IF(I19="","",I19*J19)))</f>
        <v/>
      </c>
      <c r="M19" s="64" t="str">
        <f t="shared" ref="M19" si="9">IF(I19="",K19,IF(L19&gt;=K19,L19,K19))</f>
        <v/>
      </c>
    </row>
    <row r="20" spans="1:14">
      <c r="A20" s="64" t="str">
        <f>IF(Notes_STMG!A20="","",Notes_STMG!A20)</f>
        <v/>
      </c>
      <c r="B20" s="64"/>
      <c r="C20" s="64"/>
      <c r="D20" s="171"/>
      <c r="E20" s="172"/>
      <c r="F20" s="171"/>
      <c r="G20" s="172"/>
      <c r="H20" s="70" t="str">
        <f>Notes_STMG!H20</f>
        <v/>
      </c>
      <c r="I20" s="64"/>
      <c r="J20" s="66"/>
      <c r="K20" s="64"/>
      <c r="L20" s="64" t="str">
        <f t="shared" ref="L20:L27" si="10">IF($F$39&lt;8,"",IF($F$39&gt;=10,"",IF(I20="","",I20*J20)))</f>
        <v/>
      </c>
      <c r="M20" s="64"/>
    </row>
    <row r="21" spans="1:14">
      <c r="A21" s="64" t="str">
        <f>IF(Notes_STMG!A21="","",Notes_STMG!A21)</f>
        <v/>
      </c>
      <c r="B21" s="64"/>
      <c r="C21" s="64"/>
      <c r="D21" s="171">
        <v>2</v>
      </c>
      <c r="E21" s="172"/>
      <c r="F21" s="171" t="str">
        <f>IF(A21="","",A21*D21)</f>
        <v/>
      </c>
      <c r="G21" s="172"/>
      <c r="H21" s="67" t="s">
        <v>24</v>
      </c>
      <c r="I21" s="64" t="str">
        <f>IF(OR($F$39&lt;8,$F$39&gt;=10),"",IF(Notes_STMG!I21="","",Notes_STMG!I21))</f>
        <v/>
      </c>
      <c r="J21" s="66" t="str">
        <f>IF(OR($F$39&lt;8,$F$39&gt;=10),"",D21)</f>
        <v/>
      </c>
      <c r="K21" s="64" t="str">
        <f>IF($F$39&lt;8,"",IF($F$39&gt;=10,"",F21))</f>
        <v/>
      </c>
      <c r="L21" s="64" t="str">
        <f t="shared" si="10"/>
        <v/>
      </c>
      <c r="M21" s="64" t="str">
        <f>IF(I21="",K21,IF(L21&gt;=K21,L21,K21))</f>
        <v/>
      </c>
    </row>
    <row r="22" spans="1:14">
      <c r="A22" s="64" t="str">
        <f>IF(Notes_STMG!A22="","",Notes_STMG!A22)</f>
        <v/>
      </c>
      <c r="B22" s="64"/>
      <c r="C22" s="64"/>
      <c r="D22" s="171"/>
      <c r="E22" s="172"/>
      <c r="F22" s="171"/>
      <c r="G22" s="172"/>
      <c r="H22" s="70" t="str">
        <f>Notes_STMG!H22</f>
        <v/>
      </c>
      <c r="I22" s="64"/>
      <c r="J22" s="66"/>
      <c r="K22" s="64"/>
      <c r="L22" s="64" t="str">
        <f t="shared" si="10"/>
        <v/>
      </c>
      <c r="M22" s="64"/>
    </row>
    <row r="23" spans="1:14">
      <c r="A23" s="64" t="str">
        <f>IF(Notes_STMG!A23="","",Notes_STMG!A23)</f>
        <v/>
      </c>
      <c r="B23" s="64"/>
      <c r="C23" s="64"/>
      <c r="D23" s="171">
        <v>3</v>
      </c>
      <c r="E23" s="172"/>
      <c r="F23" s="171" t="str">
        <f>IF(A23="","",A23*D23)</f>
        <v/>
      </c>
      <c r="G23" s="172"/>
      <c r="H23" s="67" t="s">
        <v>6</v>
      </c>
      <c r="I23" s="64" t="str">
        <f>IF(OR($F$39&lt;8,$F$39&gt;=10),"",IF(Notes_STMG!I23="","",Notes_STMG!I23))</f>
        <v/>
      </c>
      <c r="J23" s="66" t="str">
        <f>IF(OR($F$39&lt;8,$F$39&gt;=10),"",D23)</f>
        <v/>
      </c>
      <c r="K23" s="64" t="str">
        <f>IF($F$39&lt;8,"",IF($F$39&gt;=10,"",F23))</f>
        <v/>
      </c>
      <c r="L23" s="64" t="str">
        <f t="shared" si="10"/>
        <v/>
      </c>
      <c r="M23" s="64" t="str">
        <f>IF(I23="",K23,IF(L23&gt;=K23,L23,K23))</f>
        <v/>
      </c>
    </row>
    <row r="24" spans="1:14">
      <c r="A24" s="64" t="str">
        <f>IF(Notes_STMG!A24="","",Notes_STMG!A24)</f>
        <v/>
      </c>
      <c r="B24" s="64"/>
      <c r="C24" s="64"/>
      <c r="D24" s="171">
        <v>2</v>
      </c>
      <c r="E24" s="172"/>
      <c r="F24" s="171" t="str">
        <f>IF(A24="","",A24*D24)</f>
        <v/>
      </c>
      <c r="G24" s="172"/>
      <c r="H24" s="67" t="s">
        <v>25</v>
      </c>
      <c r="I24" s="64" t="str">
        <f>IF(OR($F$39&lt;8,$F$39&gt;=10),"",IF(Notes_STMG!I24="","",Notes_STMG!I24))</f>
        <v/>
      </c>
      <c r="J24" s="66" t="str">
        <f>IF(OR($F$39&lt;8,$F$39&gt;=10),"",D24)</f>
        <v/>
      </c>
      <c r="K24" s="64" t="str">
        <f>IF($F$39&lt;8,"",IF($F$39&gt;=10,"",F24))</f>
        <v/>
      </c>
      <c r="L24" s="64" t="str">
        <f t="shared" si="10"/>
        <v/>
      </c>
      <c r="M24" s="64" t="str">
        <f>IF(I24="",K24,IF(L24&gt;=K24,L24,K24))</f>
        <v/>
      </c>
    </row>
    <row r="25" spans="1:14">
      <c r="A25" s="64" t="str">
        <f>IF(Notes_STMG!A25="","",Notes_STMG!A25)</f>
        <v/>
      </c>
      <c r="B25" s="64"/>
      <c r="C25" s="103"/>
      <c r="D25" s="171">
        <v>5</v>
      </c>
      <c r="E25" s="172"/>
      <c r="F25" s="171" t="str">
        <f>IF(A25="","",A25*D25)</f>
        <v/>
      </c>
      <c r="G25" s="172"/>
      <c r="H25" s="67" t="s">
        <v>79</v>
      </c>
      <c r="I25" s="64" t="str">
        <f>IF(OR($F$39&lt;8,$F$39&gt;=10),"",IF(Notes_STMG!I25="","",Notes_STMG!I25))</f>
        <v/>
      </c>
      <c r="J25" s="103" t="str">
        <f>IF(OR($F$39&lt;8,$F$39&gt;=10),"",D25)</f>
        <v/>
      </c>
      <c r="K25" s="103" t="str">
        <f>IF($F$39&lt;8,"",IF($F$39&gt;=10,"",F25))</f>
        <v/>
      </c>
      <c r="L25" s="103" t="str">
        <f t="shared" si="10"/>
        <v/>
      </c>
      <c r="M25" s="64" t="str">
        <f>IF(I25="",K25,IF(L25&gt;=K25,L25,K25))</f>
        <v/>
      </c>
      <c r="N25" s="109"/>
    </row>
    <row r="26" spans="1:14">
      <c r="A26" s="64" t="str">
        <f>IF(Notes_STMG!A26="","",Notes_STMG!A26)</f>
        <v/>
      </c>
      <c r="B26" s="64"/>
      <c r="C26" s="103"/>
      <c r="D26" s="171">
        <v>5</v>
      </c>
      <c r="E26" s="172"/>
      <c r="F26" s="171" t="str">
        <f>IF(A26="","",A26*D26)</f>
        <v/>
      </c>
      <c r="G26" s="172"/>
      <c r="H26" s="68" t="s">
        <v>80</v>
      </c>
      <c r="I26" s="64" t="str">
        <f>IF(OR($F$39&lt;8,$F$39&gt;=10),"",IF(Notes_STMG!I26="","",Notes_STMG!I26))</f>
        <v/>
      </c>
      <c r="J26" s="103" t="str">
        <f>IF(OR($F$39&lt;8,$F$39&gt;=10),"",D26)</f>
        <v/>
      </c>
      <c r="K26" s="103" t="str">
        <f>IF($F$39&lt;8,"",IF($F$39&gt;=10,"",F26))</f>
        <v/>
      </c>
      <c r="L26" s="103" t="str">
        <f t="shared" si="10"/>
        <v/>
      </c>
      <c r="M26" s="64" t="str">
        <f>IF(I26="",K26,IF(L26&gt;=K26,L26,K26))</f>
        <v/>
      </c>
      <c r="N26" s="109"/>
    </row>
    <row r="27" spans="1:14">
      <c r="A27" s="64" t="str">
        <f>IF(Notes_STMG!A27="","",Notes_STMG!A27)</f>
        <v/>
      </c>
      <c r="B27" s="67"/>
      <c r="D27" s="171">
        <v>12</v>
      </c>
      <c r="E27" s="172"/>
      <c r="F27" s="171" t="str">
        <f>IF(A27="","",A27*D27)</f>
        <v/>
      </c>
      <c r="G27" s="172"/>
      <c r="H27" s="68" t="str">
        <f>Notes_STMG!H27</f>
        <v/>
      </c>
      <c r="I27" s="64" t="str">
        <f>IF(OR($F$39&lt;8,$F$39&gt;=10),"",IF(Notes_STMG!I27="","",Notes_STMG!I27))</f>
        <v/>
      </c>
      <c r="J27" s="103" t="str">
        <f>IF(OR($F$39&lt;8,$F$39&gt;=10),"",D27)</f>
        <v/>
      </c>
      <c r="K27" s="103" t="str">
        <f>IF($F$39&lt;8,"",IF($F$39&gt;=10,"",F27))</f>
        <v/>
      </c>
      <c r="L27" s="103" t="str">
        <f t="shared" si="10"/>
        <v/>
      </c>
      <c r="M27" s="64" t="str">
        <f>IF(I27="",K27,IF(L27&gt;=K27,L27,K27))</f>
        <v/>
      </c>
      <c r="N27" s="109"/>
    </row>
    <row r="28" spans="1:14">
      <c r="A28" s="64" t="str">
        <f>IF(Notes_STMG!A28="","",Notes_STMG!A28)</f>
        <v/>
      </c>
      <c r="B28" s="67"/>
      <c r="D28" s="173" t="s">
        <v>81</v>
      </c>
      <c r="E28" s="172"/>
      <c r="F28" s="69"/>
      <c r="G28" s="68"/>
      <c r="H28" s="68" t="str">
        <f>Notes_STMG!H28</f>
        <v/>
      </c>
      <c r="I28" s="64" t="str">
        <f>IF(OR($F$39&lt;8,$F$39&gt;=10),"",IF(Notes_STMG!I28="","",Notes_STMG!I28))</f>
        <v/>
      </c>
      <c r="J28" s="103" t="str">
        <f t="shared" ref="J28:J29" si="11">IF(OR($F$39&lt;8,$F$39&gt;=10),"",D28)</f>
        <v/>
      </c>
      <c r="K28" s="68"/>
      <c r="L28" s="68"/>
      <c r="M28" s="67"/>
      <c r="N28" s="109"/>
    </row>
    <row r="29" spans="1:14">
      <c r="A29" s="64" t="str">
        <f>IF(Notes_STMG!A29="","",Notes_STMG!A29)</f>
        <v/>
      </c>
      <c r="B29" s="67"/>
      <c r="D29" s="173" t="s">
        <v>81</v>
      </c>
      <c r="E29" s="172"/>
      <c r="F29" s="69"/>
      <c r="G29" s="68"/>
      <c r="H29" s="68" t="str">
        <f>Notes_STMG!H29</f>
        <v/>
      </c>
      <c r="I29" s="68"/>
      <c r="J29" s="103" t="str">
        <f t="shared" si="11"/>
        <v/>
      </c>
      <c r="K29" s="68"/>
      <c r="L29" s="68"/>
      <c r="M29" s="67"/>
      <c r="N29" s="109"/>
    </row>
    <row r="30" spans="1:14">
      <c r="A30" s="64" t="str">
        <f>IF(Notes_STMG!A30="","",Notes_STMG!A30)</f>
        <v/>
      </c>
      <c r="B30" s="64"/>
      <c r="C30" s="103"/>
      <c r="D30" s="171"/>
      <c r="E30" s="172"/>
      <c r="F30" s="171" t="str">
        <f>IF(A30="","",IF(A30&lt;=10,"",IF(Notes_STMG!H54=8,(A30-10)*3,(A30-10)*2)))</f>
        <v/>
      </c>
      <c r="G30" s="172"/>
      <c r="H30" s="68" t="str">
        <f>IF(A30="","","EPR. FACULT. 1")</f>
        <v/>
      </c>
      <c r="I30" s="103"/>
      <c r="J30" s="103"/>
      <c r="K30" s="103" t="str">
        <f>IF($F$39&lt;8,"",IF($F$39&gt;=10,"",F30))</f>
        <v/>
      </c>
      <c r="L30" s="103" t="str">
        <f>IF($F$39&lt;8,"",IF($F$39&gt;=10,"",IF(I30="","",I30*J30)))</f>
        <v/>
      </c>
      <c r="M30" s="64" t="str">
        <f>IF(I30="",K30,IF(L30&gt;=K30,L30,K30))</f>
        <v/>
      </c>
      <c r="N30" s="109"/>
    </row>
    <row r="31" spans="1:14">
      <c r="A31" s="64" t="str">
        <f>IF(Notes_STMG!A31="","",Notes_STMG!A31)</f>
        <v/>
      </c>
      <c r="B31" s="103"/>
      <c r="C31" s="64"/>
      <c r="D31" s="171"/>
      <c r="E31" s="172"/>
      <c r="F31" s="171"/>
      <c r="G31" s="172"/>
      <c r="H31" s="67" t="str">
        <f>Notes_STMG!H31</f>
        <v/>
      </c>
      <c r="I31" s="64"/>
      <c r="J31" s="103"/>
      <c r="K31" s="103"/>
      <c r="L31" s="64" t="str">
        <f>IF($F$39&lt;8,"",IF($F$39&gt;=10,"",IF(I31="","",I31*J31)))</f>
        <v/>
      </c>
      <c r="M31" s="64"/>
      <c r="N31" s="109"/>
    </row>
    <row r="32" spans="1:14">
      <c r="A32" s="64" t="str">
        <f>IF(Notes_STMG!A32="","",Notes_STMG!A32)</f>
        <v/>
      </c>
      <c r="B32" s="64"/>
      <c r="C32" s="64"/>
      <c r="D32" s="171"/>
      <c r="E32" s="172"/>
      <c r="F32" s="171" t="str">
        <f>IF(A32="","",IF((A32-10)&lt;=0,"",A32-10))</f>
        <v/>
      </c>
      <c r="G32" s="172"/>
      <c r="H32" s="67" t="str">
        <f>IF(A32="","","EPR. FACULT. 2")</f>
        <v/>
      </c>
      <c r="I32" s="64"/>
      <c r="J32" s="66"/>
      <c r="K32" s="64" t="str">
        <f>IF($F$39&lt;8,"",IF($F$39&gt;=10,"",F32))</f>
        <v/>
      </c>
      <c r="L32" s="64" t="str">
        <f>IF($F$39&lt;8,"",IF($F$39&gt;=10,"",IF(I32="","",I32*J32)))</f>
        <v/>
      </c>
      <c r="M32" s="64" t="str">
        <f>IF(I32="",K32,IF(L32&gt;=K32,L32,K32))</f>
        <v/>
      </c>
      <c r="N32" s="109"/>
    </row>
    <row r="33" spans="1:14">
      <c r="A33" s="64" t="str">
        <f>IF(Notes_STMG!A33="","",Notes_STMG!A33)</f>
        <v/>
      </c>
      <c r="B33" s="64"/>
      <c r="C33" s="64"/>
      <c r="D33" s="171"/>
      <c r="E33" s="172"/>
      <c r="F33" s="171"/>
      <c r="G33" s="172"/>
      <c r="H33" s="67" t="str">
        <f>Notes_STMG!H33</f>
        <v/>
      </c>
      <c r="I33" s="64"/>
      <c r="J33" s="66"/>
      <c r="K33" s="64"/>
      <c r="L33" s="64" t="str">
        <f>IF($F$39&lt;8,"",IF($F$39&gt;=10,"",IF(I33="","",I33*J33)))</f>
        <v/>
      </c>
      <c r="M33" s="64"/>
      <c r="N33" s="109"/>
    </row>
    <row r="34" spans="1:14">
      <c r="A34" s="64" t="str">
        <f>IF(Notes_STMG!A34="","",Notes_STMG!A34)</f>
        <v/>
      </c>
      <c r="B34" s="64"/>
      <c r="C34" s="68"/>
      <c r="E34" s="68"/>
      <c r="G34" s="68"/>
      <c r="H34" s="68"/>
      <c r="I34" s="68"/>
      <c r="J34" s="68"/>
      <c r="K34" s="68"/>
      <c r="L34" s="68"/>
      <c r="M34" s="67"/>
      <c r="N34" s="109"/>
    </row>
    <row r="35" spans="1:14">
      <c r="A35" s="67"/>
      <c r="B35" s="64"/>
      <c r="C35" s="68"/>
      <c r="E35" s="68"/>
      <c r="G35" s="68"/>
      <c r="H35" s="68"/>
      <c r="I35" s="68"/>
      <c r="J35" s="68"/>
      <c r="K35" s="68"/>
      <c r="L35" s="68"/>
      <c r="M35" s="68"/>
      <c r="N35" s="109"/>
    </row>
    <row r="36" spans="1:14">
      <c r="A36" s="64" t="str">
        <f>Notes_STMG!A36</f>
        <v/>
      </c>
      <c r="B36" s="64" t="str">
        <f>Notes_STMG!B36</f>
        <v/>
      </c>
      <c r="C36" s="67"/>
      <c r="D36" s="171"/>
      <c r="E36" s="172"/>
      <c r="F36" s="171"/>
      <c r="G36" s="172"/>
      <c r="H36" s="70" t="str">
        <f>IF(B36="POUR INFO","EVALUAT. SPEC","")</f>
        <v/>
      </c>
      <c r="I36" s="64"/>
      <c r="J36" s="66"/>
      <c r="K36" s="64"/>
      <c r="L36" s="64" t="str">
        <f>IF($F$39&lt;8,"",IF($F$39&gt;=10,"",IF(I36="","",I36*J36)))</f>
        <v/>
      </c>
      <c r="M36" s="64"/>
    </row>
    <row r="37" spans="1:14">
      <c r="A37" s="71"/>
      <c r="B37" s="72"/>
      <c r="C37" s="72"/>
      <c r="D37" s="171"/>
      <c r="E37" s="172"/>
      <c r="F37" s="171"/>
      <c r="G37" s="172"/>
      <c r="H37" s="70" t="str">
        <f>Notes_STMG!H37</f>
        <v/>
      </c>
      <c r="I37" s="64"/>
      <c r="J37" s="66"/>
      <c r="K37" s="64"/>
      <c r="L37" s="64" t="str">
        <f>IF($F$39&lt;8,"",IF($F$39&gt;=10,"",IF(I37="","",I37*J37)))</f>
        <v/>
      </c>
      <c r="M37" s="64"/>
    </row>
    <row r="38" spans="1:14" ht="15.75">
      <c r="A38" s="73"/>
      <c r="B38" s="74" t="s">
        <v>29</v>
      </c>
      <c r="C38" s="74"/>
      <c r="D38" s="175">
        <f>Notes_STMG!D38</f>
        <v>38</v>
      </c>
      <c r="E38" s="176"/>
      <c r="F38" s="175">
        <f>Notes_STMG!F38</f>
        <v>0</v>
      </c>
      <c r="G38" s="176"/>
      <c r="H38" s="65"/>
      <c r="I38" s="75" t="s">
        <v>29</v>
      </c>
      <c r="J38" s="76" t="str">
        <f>Notes_STMG!J38</f>
        <v/>
      </c>
      <c r="K38" s="77"/>
      <c r="L38" s="78" t="s">
        <v>29</v>
      </c>
      <c r="M38" s="79" t="str">
        <f>Notes_STMG!M38</f>
        <v/>
      </c>
    </row>
    <row r="39" spans="1:14" ht="21" customHeight="1">
      <c r="A39" s="80"/>
      <c r="B39" s="81"/>
      <c r="C39" s="81"/>
      <c r="D39" s="81"/>
      <c r="E39" s="82" t="s">
        <v>30</v>
      </c>
      <c r="F39" s="177">
        <f>Notes_STMG!F39</f>
        <v>0</v>
      </c>
      <c r="G39" s="178"/>
      <c r="H39" s="72"/>
      <c r="I39" s="81"/>
      <c r="J39" s="83"/>
      <c r="K39" s="83"/>
      <c r="L39" s="82" t="s">
        <v>30</v>
      </c>
      <c r="M39" s="84" t="str">
        <f>Notes_STMG!M39</f>
        <v/>
      </c>
    </row>
    <row r="41" spans="1:14" ht="25.5" customHeight="1">
      <c r="A41" s="174" t="s">
        <v>31</v>
      </c>
      <c r="B41" s="85" t="s">
        <v>32</v>
      </c>
      <c r="C41" s="104">
        <f>IF($D$38=40,320,304)</f>
        <v>304</v>
      </c>
      <c r="D41" s="86">
        <f>IF($D$38=40,400,380)</f>
        <v>380</v>
      </c>
      <c r="E41" s="86">
        <f>IF($D$38=40,480,456)</f>
        <v>456</v>
      </c>
      <c r="F41" s="86">
        <f>IF($D$38=40,560,532)</f>
        <v>532</v>
      </c>
      <c r="G41" s="105">
        <f>IF($D$38=40,640,608)</f>
        <v>608</v>
      </c>
    </row>
    <row r="42" spans="1:14" ht="25.5" customHeight="1">
      <c r="A42" s="174"/>
      <c r="B42" s="85" t="s">
        <v>33</v>
      </c>
      <c r="C42" s="104">
        <f>C41</f>
        <v>304</v>
      </c>
      <c r="D42" s="86">
        <f>D41</f>
        <v>380</v>
      </c>
      <c r="E42" s="86"/>
      <c r="F42" s="86"/>
      <c r="G42" s="105"/>
    </row>
    <row r="43" spans="1:14" ht="25.5" customHeight="1">
      <c r="A43" s="174"/>
      <c r="B43" s="87" t="s">
        <v>34</v>
      </c>
      <c r="C43" s="88" t="s">
        <v>35</v>
      </c>
      <c r="D43" s="89" t="s">
        <v>36</v>
      </c>
      <c r="E43" s="89" t="s">
        <v>37</v>
      </c>
      <c r="F43" s="89" t="s">
        <v>38</v>
      </c>
      <c r="G43" s="90" t="s">
        <v>39</v>
      </c>
    </row>
    <row r="45" spans="1:14" ht="15" customHeight="1">
      <c r="A45" s="179" t="s">
        <v>40</v>
      </c>
      <c r="B45" s="73"/>
      <c r="C45" s="180" t="str">
        <f>Notes_STMG!C45</f>
        <v/>
      </c>
      <c r="D45" s="181"/>
      <c r="E45" s="181"/>
      <c r="F45" s="181"/>
      <c r="G45" s="181"/>
      <c r="H45" s="181"/>
      <c r="I45" s="186" t="str">
        <f>Notes_STMG!I45</f>
        <v/>
      </c>
      <c r="J45" s="186"/>
      <c r="K45" s="186"/>
      <c r="L45" s="187"/>
    </row>
    <row r="46" spans="1:14" ht="15" customHeight="1">
      <c r="A46" s="179"/>
      <c r="B46" s="69" t="s">
        <v>41</v>
      </c>
      <c r="C46" s="182"/>
      <c r="D46" s="183"/>
      <c r="E46" s="183"/>
      <c r="F46" s="183"/>
      <c r="G46" s="183"/>
      <c r="H46" s="183"/>
      <c r="I46" s="188"/>
      <c r="J46" s="188"/>
      <c r="K46" s="188"/>
      <c r="L46" s="189"/>
    </row>
    <row r="47" spans="1:14" ht="15" customHeight="1">
      <c r="A47" s="179"/>
      <c r="B47" s="80"/>
      <c r="C47" s="184"/>
      <c r="D47" s="185"/>
      <c r="E47" s="185"/>
      <c r="F47" s="185"/>
      <c r="G47" s="185"/>
      <c r="H47" s="185"/>
      <c r="I47" s="190"/>
      <c r="J47" s="190"/>
      <c r="K47" s="190"/>
      <c r="L47" s="191"/>
    </row>
    <row r="48" spans="1:14" ht="12.75" customHeight="1">
      <c r="A48" s="179"/>
      <c r="B48" s="192" t="str">
        <f>IF(C45="PASSE SECOND GROUPE","2è GROUPE : ","")</f>
        <v/>
      </c>
      <c r="C48" s="194" t="str">
        <f>Notes_STMG!C48</f>
        <v/>
      </c>
      <c r="D48" s="195"/>
      <c r="E48" s="195"/>
      <c r="F48" s="195"/>
      <c r="G48" s="195"/>
      <c r="H48" s="198" t="str">
        <f>Notes_STMG!H48</f>
        <v/>
      </c>
      <c r="I48" s="198"/>
      <c r="J48" s="198"/>
      <c r="K48" s="198"/>
      <c r="L48" s="91"/>
    </row>
    <row r="49" spans="1:17" ht="12.75" customHeight="1">
      <c r="A49" s="179"/>
      <c r="B49" s="193"/>
      <c r="C49" s="196"/>
      <c r="D49" s="197"/>
      <c r="E49" s="197"/>
      <c r="F49" s="197"/>
      <c r="G49" s="197"/>
      <c r="H49" s="199"/>
      <c r="I49" s="199"/>
      <c r="J49" s="199"/>
      <c r="K49" s="199"/>
      <c r="L49" s="92"/>
    </row>
    <row r="50" spans="1:17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7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>
      <c r="A53" s="94"/>
      <c r="B53" s="94"/>
      <c r="C53" s="94"/>
      <c r="D53" s="94"/>
      <c r="E53" s="93"/>
      <c r="F53" s="93"/>
      <c r="G53" s="93"/>
      <c r="H53" s="93"/>
      <c r="I53" s="93"/>
      <c r="J53" s="94"/>
      <c r="K53" s="94"/>
      <c r="L53" s="94"/>
      <c r="M53" s="94"/>
      <c r="N53" s="94"/>
      <c r="O53" s="94"/>
      <c r="P53" s="94"/>
      <c r="Q53" s="94"/>
    </row>
    <row r="54" spans="1:17" hidden="1">
      <c r="A54" s="94" t="s">
        <v>43</v>
      </c>
      <c r="B54" s="94">
        <v>2</v>
      </c>
      <c r="C54" s="94"/>
      <c r="D54" s="94">
        <v>4</v>
      </c>
      <c r="E54" s="94"/>
      <c r="F54" s="94">
        <v>2</v>
      </c>
      <c r="G54" s="94"/>
      <c r="H54" s="94">
        <v>8</v>
      </c>
      <c r="I54" s="94"/>
      <c r="J54" s="94">
        <v>2</v>
      </c>
      <c r="K54" s="94"/>
      <c r="L54" s="94">
        <v>2</v>
      </c>
      <c r="M54" s="94"/>
      <c r="N54" s="94">
        <v>2</v>
      </c>
      <c r="O54" s="94"/>
      <c r="P54" s="94"/>
      <c r="Q54" s="94"/>
    </row>
    <row r="55" spans="1:17">
      <c r="A55" s="94"/>
      <c r="B55" s="94" t="s">
        <v>44</v>
      </c>
      <c r="C55" s="94"/>
      <c r="D55" s="94" t="s">
        <v>45</v>
      </c>
      <c r="E55" s="94"/>
      <c r="F55" s="94" t="s">
        <v>46</v>
      </c>
      <c r="G55" s="94"/>
      <c r="H55" s="94" t="s">
        <v>47</v>
      </c>
      <c r="I55" s="94"/>
      <c r="J55" s="94" t="s">
        <v>48</v>
      </c>
      <c r="K55" s="94"/>
      <c r="L55" s="94" t="s">
        <v>49</v>
      </c>
      <c r="M55" s="94"/>
      <c r="N55" s="94" t="s">
        <v>71</v>
      </c>
      <c r="O55" s="94"/>
      <c r="P55" s="110" t="s">
        <v>50</v>
      </c>
      <c r="Q55" s="110" t="s">
        <v>56</v>
      </c>
    </row>
    <row r="56" spans="1:17">
      <c r="A56" s="94">
        <v>1</v>
      </c>
      <c r="B56" s="94"/>
      <c r="C56" s="94">
        <v>1</v>
      </c>
      <c r="D56" s="94"/>
      <c r="E56" s="94">
        <v>1</v>
      </c>
      <c r="F56" s="94"/>
      <c r="G56" s="94">
        <v>1</v>
      </c>
      <c r="H56" s="94"/>
      <c r="I56" s="94">
        <v>1</v>
      </c>
      <c r="J56" s="94"/>
      <c r="K56" s="94">
        <v>1</v>
      </c>
      <c r="L56" s="94"/>
      <c r="M56" s="94">
        <v>1</v>
      </c>
      <c r="N56" s="94"/>
      <c r="O56" s="111" t="s">
        <v>66</v>
      </c>
      <c r="P56" s="110">
        <f>IF(AND(D54=2,H54=9,A19&gt;=12,A30&gt;=10),1,0)</f>
        <v>0</v>
      </c>
      <c r="Q56" s="110">
        <f>IF(AND(D54=4,H54=10,A19&gt;=12,A30&gt;=10),1,0)</f>
        <v>0</v>
      </c>
    </row>
    <row r="57" spans="1:17">
      <c r="A57" s="94">
        <v>2</v>
      </c>
      <c r="B57" s="94" t="s">
        <v>74</v>
      </c>
      <c r="C57" s="94">
        <v>2</v>
      </c>
      <c r="D57" s="94" t="s">
        <v>50</v>
      </c>
      <c r="E57" s="94">
        <v>2</v>
      </c>
      <c r="F57" s="94" t="s">
        <v>50</v>
      </c>
      <c r="G57" s="94">
        <v>2</v>
      </c>
      <c r="H57" s="94" t="s">
        <v>51</v>
      </c>
      <c r="I57" s="94">
        <v>2</v>
      </c>
      <c r="J57" s="94" t="s">
        <v>51</v>
      </c>
      <c r="K57" s="94">
        <v>2</v>
      </c>
      <c r="L57" s="94" t="s">
        <v>52</v>
      </c>
      <c r="M57" s="94">
        <v>2</v>
      </c>
      <c r="N57" s="94" t="s">
        <v>50</v>
      </c>
      <c r="O57" s="111" t="s">
        <v>67</v>
      </c>
      <c r="P57" s="110">
        <f>IF(AND(D54=2,J54=9,A19&gt;=12,A32&gt;=10),1,0)</f>
        <v>0</v>
      </c>
      <c r="Q57" s="110">
        <f>IF(AND(D54=4,J54=10,A19&gt;=12,A32&gt;=10),1,0)</f>
        <v>0</v>
      </c>
    </row>
    <row r="58" spans="1:17">
      <c r="A58" s="94">
        <v>3</v>
      </c>
      <c r="B58" s="94" t="s">
        <v>75</v>
      </c>
      <c r="C58" s="94">
        <v>3</v>
      </c>
      <c r="D58" s="94" t="s">
        <v>53</v>
      </c>
      <c r="E58" s="94">
        <v>3</v>
      </c>
      <c r="F58" s="94" t="s">
        <v>53</v>
      </c>
      <c r="G58" s="94">
        <v>3</v>
      </c>
      <c r="H58" s="94" t="s">
        <v>82</v>
      </c>
      <c r="I58" s="94">
        <v>3</v>
      </c>
      <c r="J58" s="94" t="s">
        <v>54</v>
      </c>
      <c r="K58" s="94">
        <v>3</v>
      </c>
      <c r="L58" s="94" t="s">
        <v>55</v>
      </c>
      <c r="M58" s="94">
        <v>3</v>
      </c>
      <c r="N58" s="94" t="s">
        <v>53</v>
      </c>
      <c r="O58" s="111" t="s">
        <v>68</v>
      </c>
      <c r="P58" s="110">
        <f>IF(AND(F54=2,H54=9,A21&gt;=12,A30&gt;=10),1,0)</f>
        <v>0</v>
      </c>
      <c r="Q58" s="110">
        <f>IF(AND(F54=4,H54=10,A21&gt;=12,A30&gt;=10),1,0)</f>
        <v>0</v>
      </c>
    </row>
    <row r="59" spans="1:17">
      <c r="A59" s="94">
        <v>4</v>
      </c>
      <c r="B59" s="94" t="s">
        <v>76</v>
      </c>
      <c r="C59" s="94">
        <v>4</v>
      </c>
      <c r="D59" s="94" t="s">
        <v>56</v>
      </c>
      <c r="E59" s="94">
        <v>4</v>
      </c>
      <c r="F59" s="94" t="s">
        <v>56</v>
      </c>
      <c r="G59" s="94">
        <v>4</v>
      </c>
      <c r="H59" s="94" t="s">
        <v>54</v>
      </c>
      <c r="I59" s="94">
        <v>4</v>
      </c>
      <c r="J59" s="94" t="s">
        <v>57</v>
      </c>
      <c r="K59" s="94"/>
      <c r="L59" s="94"/>
      <c r="M59" s="94">
        <v>4</v>
      </c>
      <c r="N59" s="94" t="s">
        <v>56</v>
      </c>
      <c r="O59" s="111" t="s">
        <v>69</v>
      </c>
      <c r="P59" s="110">
        <f>IF(AND(F54=2,J54=9,A21&gt;=12,A32&gt;=10),1,0)</f>
        <v>0</v>
      </c>
      <c r="Q59" s="110">
        <f>IF(AND(F54=4,J54=10,A21&gt;=12,A32&gt;=10),1,0)</f>
        <v>0</v>
      </c>
    </row>
    <row r="60" spans="1:17">
      <c r="A60" s="94">
        <v>5</v>
      </c>
      <c r="B60" s="94"/>
      <c r="C60" s="94"/>
      <c r="D60" s="94"/>
      <c r="E60" s="94"/>
      <c r="F60" s="94"/>
      <c r="G60" s="94">
        <v>5</v>
      </c>
      <c r="H60" s="94" t="s">
        <v>57</v>
      </c>
      <c r="I60" s="94">
        <v>5</v>
      </c>
      <c r="J60" s="94" t="s">
        <v>58</v>
      </c>
      <c r="K60" s="94"/>
      <c r="L60" s="94"/>
      <c r="M60" s="94"/>
      <c r="N60" s="94"/>
      <c r="O60" s="111" t="s">
        <v>70</v>
      </c>
      <c r="P60" s="110">
        <f>SUM(P56:P59)</f>
        <v>0</v>
      </c>
      <c r="Q60" s="110">
        <f>SUM(Q56:Q59)</f>
        <v>0</v>
      </c>
    </row>
    <row r="61" spans="1:17">
      <c r="A61" s="94"/>
      <c r="B61" s="94"/>
      <c r="C61" s="94"/>
      <c r="D61" s="94"/>
      <c r="E61" s="94"/>
      <c r="F61" s="94"/>
      <c r="G61" s="94">
        <v>6</v>
      </c>
      <c r="H61" s="94" t="s">
        <v>58</v>
      </c>
      <c r="I61" s="94">
        <v>6</v>
      </c>
      <c r="J61" s="94" t="s">
        <v>49</v>
      </c>
      <c r="K61" s="94"/>
      <c r="L61" s="94"/>
      <c r="M61" s="94"/>
      <c r="N61" s="94"/>
      <c r="O61" s="111"/>
      <c r="P61" s="110"/>
      <c r="Q61" s="110"/>
    </row>
    <row r="62" spans="1:17">
      <c r="A62" s="94"/>
      <c r="B62" s="94"/>
      <c r="C62" s="94"/>
      <c r="D62" s="94"/>
      <c r="E62" s="94"/>
      <c r="F62" s="94"/>
      <c r="G62" s="94">
        <v>7</v>
      </c>
      <c r="H62" s="94" t="s">
        <v>49</v>
      </c>
      <c r="I62" s="94">
        <v>7</v>
      </c>
      <c r="J62" s="94" t="s">
        <v>72</v>
      </c>
      <c r="K62" s="94"/>
      <c r="L62" s="94"/>
      <c r="M62" s="94"/>
      <c r="N62" s="94"/>
      <c r="O62" s="94"/>
      <c r="P62" s="94"/>
      <c r="Q62" s="94"/>
    </row>
    <row r="63" spans="1:17">
      <c r="A63" s="94"/>
      <c r="B63" s="94"/>
      <c r="C63" s="94"/>
      <c r="D63" s="94"/>
      <c r="E63" s="94"/>
      <c r="F63" s="94"/>
      <c r="G63" s="94">
        <v>8</v>
      </c>
      <c r="H63" s="94" t="s">
        <v>59</v>
      </c>
      <c r="I63" s="94">
        <v>8</v>
      </c>
      <c r="J63" s="94" t="s">
        <v>59</v>
      </c>
      <c r="K63" s="94"/>
      <c r="L63" s="94"/>
      <c r="M63" s="94"/>
      <c r="N63" s="94"/>
      <c r="O63" s="94"/>
      <c r="P63" s="94"/>
      <c r="Q63" s="94"/>
    </row>
    <row r="64" spans="1:17">
      <c r="A64" s="94"/>
      <c r="B64" s="94"/>
      <c r="C64" s="94"/>
      <c r="D64" s="94"/>
      <c r="E64" s="94"/>
      <c r="F64" s="94"/>
      <c r="G64" s="94">
        <v>9</v>
      </c>
      <c r="H64" s="94" t="s">
        <v>60</v>
      </c>
      <c r="I64" s="94">
        <v>9</v>
      </c>
      <c r="J64" s="94" t="s">
        <v>60</v>
      </c>
      <c r="K64" s="94"/>
      <c r="L64" s="94"/>
      <c r="M64" s="94"/>
      <c r="N64" s="94"/>
      <c r="O64" s="94"/>
      <c r="P64" s="94"/>
      <c r="Q64" s="94"/>
    </row>
    <row r="65" spans="1:17">
      <c r="A65" s="94"/>
      <c r="B65" s="94"/>
      <c r="C65" s="94"/>
      <c r="D65" s="94"/>
      <c r="E65" s="94"/>
      <c r="F65" s="94"/>
      <c r="G65" s="94">
        <v>10</v>
      </c>
      <c r="H65" s="94" t="s">
        <v>61</v>
      </c>
      <c r="I65" s="94">
        <v>10</v>
      </c>
      <c r="J65" s="94" t="s">
        <v>61</v>
      </c>
      <c r="K65" s="94"/>
      <c r="L65" s="94"/>
      <c r="M65" s="94"/>
      <c r="N65" s="94"/>
      <c r="O65" s="94"/>
      <c r="P65" s="94"/>
      <c r="Q65" s="94"/>
    </row>
    <row r="66" spans="1:17">
      <c r="A66" s="94"/>
      <c r="B66" s="94"/>
      <c r="C66" s="94"/>
      <c r="D66" s="94"/>
      <c r="E66" s="94"/>
      <c r="F66" s="94"/>
      <c r="G66" s="94">
        <v>11</v>
      </c>
      <c r="H66" s="94" t="s">
        <v>62</v>
      </c>
      <c r="I66" s="94">
        <v>11</v>
      </c>
      <c r="J66" s="94" t="s">
        <v>62</v>
      </c>
      <c r="K66" s="94"/>
      <c r="L66" s="94"/>
      <c r="M66" s="94"/>
      <c r="N66" s="94"/>
      <c r="O66" s="94"/>
      <c r="P66" s="94"/>
      <c r="Q66" s="94"/>
    </row>
    <row r="67" spans="1:17">
      <c r="A67" s="94"/>
      <c r="B67" s="94"/>
      <c r="C67" s="94"/>
      <c r="D67" s="94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>
      <c r="A68" s="94"/>
      <c r="B68" s="94"/>
      <c r="C68" s="94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7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7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</sheetData>
  <sheetProtection password="CE9B" sheet="1" objects="1" scenarios="1" selectLockedCells="1" selectUnlockedCells="1"/>
  <mergeCells count="62">
    <mergeCell ref="A45:A49"/>
    <mergeCell ref="C45:H47"/>
    <mergeCell ref="I45:L47"/>
    <mergeCell ref="B48:B49"/>
    <mergeCell ref="C48:G49"/>
    <mergeCell ref="H48:K49"/>
    <mergeCell ref="A41:A43"/>
    <mergeCell ref="D32:E32"/>
    <mergeCell ref="F32:G32"/>
    <mergeCell ref="D33:E33"/>
    <mergeCell ref="F33:G33"/>
    <mergeCell ref="D36:E36"/>
    <mergeCell ref="F36:G36"/>
    <mergeCell ref="D37:E37"/>
    <mergeCell ref="F37:G37"/>
    <mergeCell ref="D38:E38"/>
    <mergeCell ref="F38:G38"/>
    <mergeCell ref="F39:G39"/>
    <mergeCell ref="D28:E28"/>
    <mergeCell ref="D29:E29"/>
    <mergeCell ref="D30:E30"/>
    <mergeCell ref="F30:G30"/>
    <mergeCell ref="D31:E31"/>
    <mergeCell ref="F31:G31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K11:M11"/>
    <mergeCell ref="D12:E12"/>
    <mergeCell ref="F12:G12"/>
    <mergeCell ref="B5:E5"/>
    <mergeCell ref="B6:E6"/>
    <mergeCell ref="A11:G11"/>
    <mergeCell ref="H11:H12"/>
    <mergeCell ref="I11:J11"/>
  </mergeCells>
  <dataValidations count="1">
    <dataValidation type="whole" allowBlank="1" showInputMessage="1" showErrorMessage="1" error="Une note est comprise entre 0 et 20" sqref="A13:A34">
      <formula1>0</formula1>
      <formula2>20</formula2>
    </dataValidation>
  </dataValidations>
  <pageMargins left="0.2" right="0.2" top="0.75" bottom="0.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Notes_STMG</vt:lpstr>
      <vt:lpstr>IMPRIMER_Relevé_STMG</vt:lpstr>
      <vt:lpstr>IMPRIMER_Relevé_STMG!Zone_d_impression</vt:lpstr>
      <vt:lpstr>Notes_STMG!Zone_d_impression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Mahatma Gandhi</dc:creator>
  <cp:lastModifiedBy>Lycée Mahatma Gandhi</cp:lastModifiedBy>
  <cp:lastPrinted>2015-02-25T10:03:22Z</cp:lastPrinted>
  <dcterms:created xsi:type="dcterms:W3CDTF">2014-12-08T09:40:22Z</dcterms:created>
  <dcterms:modified xsi:type="dcterms:W3CDTF">2015-02-25T18:15:14Z</dcterms:modified>
</cp:coreProperties>
</file>